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3885" windowWidth="15420" windowHeight="3930" tabRatio="569" activeTab="0"/>
  </bookViews>
  <sheets>
    <sheet name="(A) Gross Budget Summary" sheetId="1" r:id="rId1"/>
    <sheet name="(B) Base Budget Adjustments" sheetId="2" r:id="rId2"/>
    <sheet name="(C) Budget Plan Adjustments" sheetId="3" r:id="rId3"/>
    <sheet name="(D) SUF revenue-SUG-FTES" sheetId="4" r:id="rId4"/>
    <sheet name="(E) SUG" sheetId="5" r:id="rId5"/>
    <sheet name="(F) Interest Pymt Schedule" sheetId="6" r:id="rId6"/>
  </sheets>
  <definedNames>
    <definedName name="_xlnm.Print_Area" localSheetId="0">'(A) Gross Budget Summary'!$A$1:$O$45</definedName>
    <definedName name="_xlnm.Print_Area" localSheetId="1">'(B) Base Budget Adjustments'!$A$1:$V$45</definedName>
    <definedName name="_xlnm.Print_Area" localSheetId="2">'(C) Budget Plan Adjustments'!$A$1:$J$43</definedName>
    <definedName name="_xlnm.Print_Area" localSheetId="3">'(D) SUF revenue-SUG-FTES'!$A$1:$R$42</definedName>
    <definedName name="_xlnm.Print_Area" localSheetId="4">'(E) SUG'!$A$1:$L$33</definedName>
    <definedName name="_xlnm.Print_Titles" localSheetId="2">'(C) Budget Plan Adjustments'!$A:$A,'(C) Budget Plan Adjustments'!$1:$2</definedName>
  </definedNames>
  <calcPr fullCalcOnLoad="1" fullPrecision="0"/>
</workbook>
</file>

<file path=xl/sharedStrings.xml><?xml version="1.0" encoding="utf-8"?>
<sst xmlns="http://schemas.openxmlformats.org/spreadsheetml/2006/main" count="306" uniqueCount="175">
  <si>
    <t>Bakersfield</t>
  </si>
  <si>
    <t>Channel Islands</t>
  </si>
  <si>
    <t>Chico</t>
  </si>
  <si>
    <t>Dominguez Hills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</si>
  <si>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</si>
  <si>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</si>
  <si>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</si>
  <si>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</si>
  <si>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</si>
  <si>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</si>
  <si>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</si>
  <si>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</si>
  <si>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</si>
  <si>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</si>
  <si>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</si>
  <si>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</si>
  <si>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</si>
  <si>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</si>
  <si>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</si>
  <si>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</si>
  <si>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</si>
  <si>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</si>
  <si>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</si>
  <si>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</si>
  <si>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International Programs</t>
  </si>
  <si>
    <t>Summer Arts</t>
  </si>
  <si>
    <t>Systemwide Provisions</t>
  </si>
  <si>
    <t>CSU System Total</t>
  </si>
  <si>
    <t>General Fund Base Adjustments</t>
  </si>
  <si>
    <t>Campus Reported Gross         Final Budget</t>
  </si>
  <si>
    <t>General Fund Allocation</t>
  </si>
  <si>
    <t>East Bay</t>
  </si>
  <si>
    <t>(Sum Cols. 1-3)</t>
  </si>
  <si>
    <t>Campus Reported State University Fee Revenue</t>
  </si>
  <si>
    <t>State University Fee Revenue</t>
  </si>
  <si>
    <r>
      <t>Other Fee Revenue and SWP Reim.</t>
    </r>
    <r>
      <rPr>
        <vertAlign val="superscript"/>
        <sz val="10"/>
        <rFont val="Times New Roman"/>
        <family val="1"/>
      </rPr>
      <t>1</t>
    </r>
  </si>
  <si>
    <t>B 07-02 General Fund Allocation</t>
  </si>
  <si>
    <t>2008/09 Gross Budget Allocation</t>
  </si>
  <si>
    <t>2007/08 FIRMS Final Budget Detail</t>
  </si>
  <si>
    <t>2008/09 Budget Plan Adjustments</t>
  </si>
  <si>
    <t>2007/08 Retirement Adjustment</t>
  </si>
  <si>
    <r>
      <t>Unadjusted Other Fee Revenue and Reim.</t>
    </r>
    <r>
      <rPr>
        <vertAlign val="superscript"/>
        <sz val="10"/>
        <rFont val="Times New Roman"/>
        <family val="1"/>
      </rPr>
      <t>1</t>
    </r>
  </si>
  <si>
    <t>Revised General Fund Base</t>
  </si>
  <si>
    <t>Represents other CSU Operating Fund fee revenue; also, the only reimbursements included is lease bond payments reimbursement in SWPs (which changes in 2008/09)</t>
  </si>
  <si>
    <t>Health</t>
  </si>
  <si>
    <t>Full-Year SSI Compensation</t>
  </si>
  <si>
    <t>Energy</t>
  </si>
  <si>
    <t>CalStateTeach</t>
  </si>
  <si>
    <t>State University Grant (SUG) Distribution Based on Need</t>
  </si>
  <si>
    <t>2008/09 CSU Preliminary Final Budget Allocation</t>
  </si>
  <si>
    <t>2008/09           General Fund Base</t>
  </si>
  <si>
    <r>
      <t xml:space="preserve">GF Base Adjustments </t>
    </r>
    <r>
      <rPr>
        <sz val="8"/>
        <rFont val="Times New Roman"/>
        <family val="1"/>
      </rPr>
      <t>(CSUPERB, CO-Adjust., Lease Bonds)</t>
    </r>
    <r>
      <rPr>
        <vertAlign val="superscript"/>
        <sz val="10"/>
        <rFont val="Times New Roman"/>
        <family val="1"/>
      </rPr>
      <t>1</t>
    </r>
  </si>
  <si>
    <t xml:space="preserve"> Operating Fee Revenue Interest Assessment Increase</t>
  </si>
  <si>
    <t>General Fund</t>
  </si>
  <si>
    <t>SUF Revenue</t>
  </si>
  <si>
    <t>Base Adjustments</t>
  </si>
  <si>
    <t>Other Budget Year Adjustments</t>
  </si>
  <si>
    <t>Attach. E</t>
  </si>
  <si>
    <t>(Cols. 1+5)</t>
  </si>
  <si>
    <t>(Sum Cols. 6-7)</t>
  </si>
  <si>
    <t>FTES</t>
  </si>
  <si>
    <t>2008/09 Final Budget Totals</t>
  </si>
  <si>
    <t>2008/09 Resident FTES Targets (no change from 2007/08)</t>
  </si>
  <si>
    <t>Resident Students</t>
  </si>
  <si>
    <t>Non-Resident Students</t>
  </si>
  <si>
    <t>(Cols. 2+6)</t>
  </si>
  <si>
    <t>(Cols. 3+7)</t>
  </si>
  <si>
    <t>(Sum Cols. 2-3)</t>
  </si>
  <si>
    <t>(Cols. 10+11)</t>
  </si>
  <si>
    <t>Attach D, Col. 11</t>
  </si>
  <si>
    <t>Attach. D, Col. 10</t>
  </si>
  <si>
    <t>ATTACHMENT A -  2008/09 Preliminary Final Budget Allocations, Gross Budget Summary</t>
  </si>
  <si>
    <t>ATTACHMENT B -  2008/09 Preliminary Final Budget Allocations, Base Budget Adjustments</t>
  </si>
  <si>
    <t>Campus</t>
  </si>
  <si>
    <t>Attachment F, CSU Operating Revenue - 2008/09 Interest Payment Schedule</t>
  </si>
  <si>
    <t>(Included with the 2008/09 final budget allocation memo for information purposes)</t>
  </si>
  <si>
    <t>Quarterly Payment Schedule</t>
  </si>
  <si>
    <r>
      <t>Interest Assessment Total</t>
    </r>
    <r>
      <rPr>
        <b/>
        <vertAlign val="superscript"/>
        <sz val="12"/>
        <rFont val="Times New Roman"/>
        <family val="1"/>
      </rPr>
      <t>1</t>
    </r>
  </si>
  <si>
    <t>Total</t>
  </si>
  <si>
    <t xml:space="preserve">The $3.1M is an increase to the $4.8M 2007/08 CSU operating revenue interest for a 2008/09 total of $7.9M.  Reference the 2008/09 interest assessment payment schedule by campus, Attachment F. </t>
  </si>
  <si>
    <t>SUF Revenue Increase</t>
  </si>
  <si>
    <t>One-Third Set-Aside from 2008/09 SUF Revenue Increase</t>
  </si>
  <si>
    <t>2008/09 Net SUF Revenue Increase Offset</t>
  </si>
  <si>
    <t>Mandatory Costs</t>
  </si>
  <si>
    <t>Mandatory Costs Total</t>
  </si>
  <si>
    <t>Uses of 2008/09 SUF Revenue Increase</t>
  </si>
  <si>
    <t>(Sum Cols. 1-4)</t>
  </si>
  <si>
    <r>
      <t>2008/09 New Space Need @ $9.10 sq. ft.</t>
    </r>
    <r>
      <rPr>
        <vertAlign val="superscript"/>
        <sz val="10"/>
        <rFont val="Times New Roman"/>
        <family val="1"/>
      </rPr>
      <t>1</t>
    </r>
  </si>
  <si>
    <r>
      <t>(=3)</t>
    </r>
    <r>
      <rPr>
        <i/>
        <vertAlign val="superscript"/>
        <sz val="9"/>
        <rFont val="Times New Roman"/>
        <family val="1"/>
      </rPr>
      <t>1</t>
    </r>
  </si>
  <si>
    <t>2005/06 Baseline of Auxiliary Audit Assessments</t>
  </si>
  <si>
    <t>(Sum Cols. 2-8)</t>
  </si>
  <si>
    <t>Attach. B, Col. 9</t>
  </si>
  <si>
    <t>(Cols. 1+9)</t>
  </si>
  <si>
    <t>This represents $872,500 permanent base budget adjustment to the CO from campuses($865,830)/CO ($6,670) for the 2005/06 baseline of auxiliary audit internal reviews that will continue to require operating cost adjustments in the future.  The 2005/06 baseline was invoiced separately to campuses in prior years.  The 2005/06 baseline does not include the 2006/07 and 2007/08 final budget allocations, permanent base-budget adjustments for new auxiliary audit positions added in those years.</t>
  </si>
  <si>
    <t>(Sum Cols. 7-9)</t>
  </si>
  <si>
    <t>Remaining Revenue for Other Unmet Need</t>
  </si>
  <si>
    <t>2007/08 General Fund Allocation       B07-02</t>
  </si>
  <si>
    <t>Includes a 2007/08 reduction (-$6.584M) and a 2008/09 increase ($1.7M) in SW lease bond payments in SWPs, permanent base funding from SWPs to increase CSUPERB at SDSU ($20,000) and Student Academic Support at the CO ($62,326), and base funding allocations from the CO to CalStateTeach ($31,743) and International Programs ($71,041) for compensation.</t>
  </si>
  <si>
    <r>
      <t>1</t>
    </r>
    <r>
      <rPr>
        <sz val="11"/>
        <rFont val="Times New Roman"/>
        <family val="1"/>
      </rPr>
      <t>2008/09 new space funding removed for CSULA; prior systemwide total was $6,100,000 / revised systemwide total is $5,834,900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</si>
  <si>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The total CSU 2008/09 operating revenue interest assessment is $7.9M, which represents a $3.1M increase to the 2007/08 $4.8M payment.  CSU is obligated by budget statute to keep the State whole for interest earned on student fee revenue held in trust. This was the result of a State/CSU agreement when CSU support operations moved from the General Fund to the Trust Fund in 2006/07. </t>
    </r>
  </si>
  <si>
    <t xml:space="preserve">The 2008/09 interest chargeback by campus is based on the campus operating revenue equivalent to the 2007/08 SUF and Other Fee Revenue reported in 2007/08 FIRMS final budget submissions. </t>
  </si>
  <si>
    <t>ATTACHMENT E -  CSU 2008/09 State University Grant (SUG) Adjustment Distributed</t>
  </si>
  <si>
    <t>2008/09 SUG Adjustment from 2008/09 SUF Revenue Increase</t>
  </si>
  <si>
    <t>Campus Code</t>
  </si>
  <si>
    <t>2007/08 Allocations From Final Budget - August 2007</t>
  </si>
  <si>
    <t>SUG Eligibility Based on 2006/07 Final Database With 2008/09 Fee Levels</t>
  </si>
  <si>
    <t>SUG Eligibility Further Adjusted to Reflect Enrollment Target Growth from 2006/07 to 2008/09</t>
  </si>
  <si>
    <t>Total 2008/09 SUG Funding Available / 100% Distributed Based on Need</t>
  </si>
  <si>
    <t>2008/09 SUG Adjustment Distributed</t>
  </si>
  <si>
    <t>Academic Year</t>
  </si>
  <si>
    <t>Name</t>
  </si>
  <si>
    <t>Dollars</t>
  </si>
  <si>
    <t>%</t>
  </si>
  <si>
    <t xml:space="preserve">  Dollars  </t>
  </si>
  <si>
    <t>(Col. 2 less Col. 1)</t>
  </si>
  <si>
    <t>35</t>
  </si>
  <si>
    <t xml:space="preserve">Bakersfield       </t>
  </si>
  <si>
    <t>20</t>
  </si>
  <si>
    <t xml:space="preserve">Chico             </t>
  </si>
  <si>
    <t>55</t>
  </si>
  <si>
    <t xml:space="preserve">Dominguez Hills   </t>
  </si>
  <si>
    <t>05</t>
  </si>
  <si>
    <t>25</t>
  </si>
  <si>
    <t xml:space="preserve">Fresno            </t>
  </si>
  <si>
    <t>50</t>
  </si>
  <si>
    <t xml:space="preserve">Fullerton         </t>
  </si>
  <si>
    <t>30</t>
  </si>
  <si>
    <t xml:space="preserve">Humboldt          </t>
  </si>
  <si>
    <t>40</t>
  </si>
  <si>
    <t xml:space="preserve">Long Beach        </t>
  </si>
  <si>
    <t>45</t>
  </si>
  <si>
    <t xml:space="preserve">Los Angeles       </t>
  </si>
  <si>
    <t>06</t>
  </si>
  <si>
    <t>07</t>
  </si>
  <si>
    <t>70</t>
  </si>
  <si>
    <t xml:space="preserve">Northridge        </t>
  </si>
  <si>
    <t>10</t>
  </si>
  <si>
    <t xml:space="preserve">Pomona            </t>
  </si>
  <si>
    <t>60</t>
  </si>
  <si>
    <t xml:space="preserve">Sacramento        </t>
  </si>
  <si>
    <t>63</t>
  </si>
  <si>
    <t xml:space="preserve">San Bernardino    </t>
  </si>
  <si>
    <t>65</t>
  </si>
  <si>
    <t xml:space="preserve">San Diego         </t>
  </si>
  <si>
    <t>75</t>
  </si>
  <si>
    <t xml:space="preserve">San Francisco     </t>
  </si>
  <si>
    <t>80</t>
  </si>
  <si>
    <t xml:space="preserve">San Jose          </t>
  </si>
  <si>
    <t>15</t>
  </si>
  <si>
    <t xml:space="preserve">San Luis Obispo   </t>
  </si>
  <si>
    <t>68</t>
  </si>
  <si>
    <t xml:space="preserve">San Marcos        </t>
  </si>
  <si>
    <t>85</t>
  </si>
  <si>
    <t xml:space="preserve">Sonoma            </t>
  </si>
  <si>
    <t>90</t>
  </si>
  <si>
    <t xml:space="preserve">Stanislaus        </t>
  </si>
  <si>
    <t>Resident SUF Revenue Adjust. Net of SUG</t>
  </si>
  <si>
    <t>Non-Resident SUF Revenue Adjust. Net of SUG</t>
  </si>
  <si>
    <t>SUF Revenue Adjust. Net of SUG</t>
  </si>
  <si>
    <r>
      <t>2008/09 Non-resident FTES</t>
    </r>
    <r>
      <rPr>
        <vertAlign val="superscript"/>
        <sz val="10"/>
        <rFont val="Times New Roman"/>
        <family val="1"/>
      </rPr>
      <t>2</t>
    </r>
  </si>
  <si>
    <r>
      <t>2008/09 SUF Revenue Adjustment</t>
    </r>
    <r>
      <rPr>
        <vertAlign val="superscript"/>
        <sz val="10"/>
        <rFont val="Times New Roman"/>
        <family val="1"/>
      </rPr>
      <t>1</t>
    </r>
  </si>
  <si>
    <r>
      <t>2</t>
    </r>
    <r>
      <rPr>
        <sz val="11"/>
        <rFont val="Times New Roman"/>
        <family val="1"/>
      </rPr>
      <t>2008/09 non-resident FTES indicated correlates with most recent past year actual non-resident FTES by campus available (2006/07)</t>
    </r>
  </si>
  <si>
    <r>
      <t>1</t>
    </r>
    <r>
      <rPr>
        <sz val="11"/>
        <rFont val="Times New Roman"/>
        <family val="1"/>
      </rPr>
      <t>2008/09 SUF revenue adjustment results from 2008/09 10% SUF rate increase and changes in enrollment/enrollment patterns</t>
    </r>
  </si>
  <si>
    <t>One-Third Financial Aid Set-Aside</t>
  </si>
  <si>
    <t>ATTACHMENT D - 2008/09 Final Budget, State University Fee (SUF) Revenue Adjustment, Financial Aid Set-Aside, and Enrollment (FTES) Target</t>
  </si>
  <si>
    <t>Attach. D, Col. 12</t>
  </si>
  <si>
    <t>(Cols. 6-5)</t>
  </si>
  <si>
    <t>ATTACHMENT C - 2008/09 Preliminary Final Budget, Uses of 2008/09 State University Fee (SUF) Revenue Increase</t>
  </si>
  <si>
    <t>Includes a $425,000 increase for annuitant dental in SWPs, a $927,000 increase from the Governor’s May revise restoration of the net 2007/08 GF reduction included in the Governor’s January budget in SWPs; correcting adjustments for 2007/08 final budget allocations for Summer Arts (-$74,000), CalStateTeach ($59,000), and SWPs ($15,000).</t>
  </si>
  <si>
    <r>
      <t>2</t>
    </r>
    <r>
      <rPr>
        <sz val="11"/>
        <rFont val="Times New Roman"/>
        <family val="1"/>
      </rPr>
      <t>Adjusted to correlate with base budget adjustment on Attachment B</t>
    </r>
  </si>
  <si>
    <t>July 23, 2008, Coded Memo B 08-03</t>
  </si>
  <si>
    <t>(revised)</t>
  </si>
  <si>
    <t>FINAL-Budget Act of 2008 was chaptered on 9/23/08, AB 1781, Chapter 268</t>
  </si>
  <si>
    <t>Final Budget Act of 2008 was chaptered on 9/23/08, AB 1781, Chapter 268; this amount was adjusted $18,000</t>
  </si>
  <si>
    <t>Final Budget Act of 2008 was chaptered on 9/23/08, AB 1781, Chapter 268; Includes $18,000 rounding adjustment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</si>
</sst>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0.000%"/>
    <numFmt numFmtId="167" formatCode="&quot;$&quot;#,##0"/>
    <numFmt numFmtId="168" formatCode="mmmm\-yy"/>
    <numFmt numFmtId="169" formatCode="#,##0.0_);\(#,##0.0\)"/>
    <numFmt numFmtId="170" formatCode="&quot;$&quot;#,##0.0_);\(&quot;$&quot;#,##0.0\)"/>
    <numFmt numFmtId="171" formatCode="0.0000%"/>
    <numFmt numFmtId="172" formatCode="0.00000%"/>
    <numFmt numFmtId="173" formatCode="0.000000%"/>
    <numFmt numFmtId="174" formatCode="_(* #,##0.0_);_(* \(#,##0.0\);_(* &quot;-&quot;??_);_(@_)"/>
    <numFmt numFmtId="175" formatCode="_(* #,##0_);_(* \(#,##0\);_(* &quot;-&quot;??_);_(@_)"/>
    <numFmt numFmtId="176" formatCode="#,##0_____);\-#,##0_____)"/>
    <numFmt numFmtId="177" formatCode="#,##0_______);\-#,##0_______)"/>
    <numFmt numFmtId="178" formatCode="#,##0.0"/>
    <numFmt numFmtId="179" formatCode="#,##0.0_______);\-#,##0.0_______)"/>
    <numFmt numFmtId="180" formatCode="#,##0.#####"/>
    <numFmt numFmtId="181" formatCode="###0"/>
    <numFmt numFmtId="182" formatCode="\+#,##0"/>
    <numFmt numFmtId="183" formatCode="mm/dd/yy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[$-409]dddd\,\ mmmm\ dd\,\ yyyy"/>
    <numFmt numFmtId="197" formatCode="mmm\-yyyy"/>
    <numFmt numFmtId="198" formatCode="&quot;$&quot;#,##0.000_);\(&quot;$&quot;#,##0.000\)"/>
    <numFmt numFmtId="199" formatCode="&quot;$&quot;#,##0.0000_);\(&quot;$&quot;#,##0.0000\)"/>
    <numFmt numFmtId="200" formatCode="&quot;$&quot;#,##0.00000_);\(&quot;$&quot;#,##0.00000\)"/>
    <numFmt numFmtId="201" formatCode="&quot;$&quot;#,##0.000000_);\(&quot;$&quot;#,##0.000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00000_);\(&quot;$&quot;#,##0.0000000\)"/>
    <numFmt numFmtId="207" formatCode="#,##0.000_);\(#,##0.000\)"/>
    <numFmt numFmtId="208" formatCode="#,##0.0000_);\(#,##0.0000\)"/>
    <numFmt numFmtId="209" formatCode="#,##0.00000_);\(#,##0.00000\)"/>
    <numFmt numFmtId="210" formatCode="#,##0.000000_);\(#,##0.000000\)"/>
    <numFmt numFmtId="211" formatCode="#,##0.0000000_);\(#,##0.0000000\)"/>
    <numFmt numFmtId="212" formatCode="#,##0.00000000_);\(#,##0.00000000\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000000_);\(#,##0.000000000\)"/>
    <numFmt numFmtId="216" formatCode="#,##0.0000000000_);\(#,##0.0000000000\)"/>
    <numFmt numFmtId="217" formatCode="&quot;$&quot;#,##0.00000"/>
    <numFmt numFmtId="218" formatCode="&quot;$&quot;#,##0.0000000"/>
    <numFmt numFmtId="219" formatCode="_(* #,##0.000_);_(* \(#,##0.000\);_(* &quot;-&quot;??_);_(@_)"/>
    <numFmt numFmtId="220" formatCode="_(* #,##0.0000_);_(* \(#,##0.0000\);_(* &quot;-&quot;??_);_(@_)"/>
    <numFmt numFmtId="221" formatCode="_(* #,##0.00000_);_(* \(#,##0.00000\);_(* &quot;-&quot;??_);_(@_)"/>
    <numFmt numFmtId="222" formatCode="_(* #,##0.000000_);_(* \(#,##0.000000\);_(* &quot;-&quot;??_);_(@_)"/>
    <numFmt numFmtId="223" formatCode="_(* #,##0.000000_);_(* \(#,##0.000000\);_(* &quot;-&quot;??????_);_(@_)"/>
    <numFmt numFmtId="224" formatCode="0.000000000"/>
  </numFmts>
  <fonts count="85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19"/>
      <name val="Times New Roman"/>
      <family val="1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Arial"/>
      <family val="2"/>
    </font>
    <font>
      <b/>
      <sz val="13"/>
      <color indexed="8"/>
      <name val="Times New Roman"/>
      <family val="1"/>
    </font>
    <font>
      <b/>
      <i/>
      <sz val="12"/>
      <name val="Times New Roman"/>
      <family val="1"/>
    </font>
    <font>
      <i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vertAlign val="superscript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vertAlign val="superscript"/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37" fontId="9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37" fontId="5" fillId="0" borderId="0" xfId="0" applyNumberFormat="1" applyFont="1" applyFill="1" applyAlignment="1">
      <alignment/>
    </xf>
    <xf numFmtId="37" fontId="3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ill="1" applyAlignment="1">
      <alignment vertical="center"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Alignment="1">
      <alignment horizontal="center" vertical="center" wrapText="1"/>
    </xf>
    <xf numFmtId="37" fontId="0" fillId="0" borderId="0" xfId="0" applyNumberFormat="1" applyFill="1" applyAlignment="1">
      <alignment horizontal="center"/>
    </xf>
    <xf numFmtId="5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5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5" fontId="0" fillId="0" borderId="11" xfId="0" applyNumberFormat="1" applyFill="1" applyBorder="1" applyAlignment="1">
      <alignment/>
    </xf>
    <xf numFmtId="5" fontId="0" fillId="0" borderId="12" xfId="0" applyNumberFormat="1" applyFill="1" applyBorder="1" applyAlignment="1">
      <alignment/>
    </xf>
    <xf numFmtId="37" fontId="0" fillId="0" borderId="10" xfId="0" applyNumberFormat="1" applyFill="1" applyBorder="1" applyAlignment="1">
      <alignment horizontal="center" wrapText="1"/>
    </xf>
    <xf numFmtId="37" fontId="0" fillId="0" borderId="10" xfId="0" applyNumberFormat="1" applyFont="1" applyFill="1" applyBorder="1" applyAlignment="1">
      <alignment horizontal="center" wrapText="1"/>
    </xf>
    <xf numFmtId="37" fontId="0" fillId="0" borderId="0" xfId="0" applyNumberFormat="1" applyFill="1" applyAlignment="1">
      <alignment horizontal="center" wrapText="1"/>
    </xf>
    <xf numFmtId="37" fontId="4" fillId="0" borderId="0" xfId="0" applyNumberFormat="1" applyFont="1" applyFill="1" applyBorder="1" applyAlignment="1">
      <alignment horizontal="center" vertical="center" wrapText="1"/>
    </xf>
    <xf numFmtId="37" fontId="10" fillId="0" borderId="0" xfId="0" applyNumberFormat="1" applyFont="1" applyFill="1" applyAlignment="1">
      <alignment horizontal="center" vertical="center" wrapText="1"/>
    </xf>
    <xf numFmtId="37" fontId="7" fillId="0" borderId="0" xfId="0" applyNumberFormat="1" applyFont="1" applyFill="1" applyAlignment="1">
      <alignment horizontal="center" vertical="center" wrapText="1"/>
    </xf>
    <xf numFmtId="37" fontId="7" fillId="0" borderId="0" xfId="0" applyNumberFormat="1" applyFont="1" applyFill="1" applyBorder="1" applyAlignment="1">
      <alignment horizontal="center" vertical="center" wrapText="1"/>
    </xf>
    <xf numFmtId="37" fontId="10" fillId="0" borderId="0" xfId="0" applyNumberFormat="1" applyFont="1" applyFill="1" applyBorder="1" applyAlignment="1">
      <alignment horizontal="center" vertical="center" wrapText="1"/>
    </xf>
    <xf numFmtId="37" fontId="0" fillId="0" borderId="0" xfId="0" applyNumberFormat="1" applyFont="1" applyFill="1" applyAlignment="1" applyProtection="1">
      <alignment/>
      <protection locked="0"/>
    </xf>
    <xf numFmtId="5" fontId="9" fillId="0" borderId="12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37" fontId="8" fillId="0" borderId="0" xfId="0" applyNumberFormat="1" applyFont="1" applyFill="1" applyBorder="1" applyAlignment="1">
      <alignment horizontal="right" vertical="top" wrapText="1"/>
    </xf>
    <xf numFmtId="37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 wrapText="1"/>
    </xf>
    <xf numFmtId="37" fontId="0" fillId="0" borderId="0" xfId="0" applyNumberFormat="1" applyFont="1" applyFill="1" applyBorder="1" applyAlignment="1">
      <alignment horizontal="center" wrapText="1"/>
    </xf>
    <xf numFmtId="37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5" fontId="0" fillId="0" borderId="0" xfId="0" applyNumberFormat="1" applyFont="1" applyFill="1" applyBorder="1" applyAlignment="1">
      <alignment/>
    </xf>
    <xf numFmtId="37" fontId="8" fillId="0" borderId="0" xfId="0" applyNumberFormat="1" applyFont="1" applyFill="1" applyAlignment="1">
      <alignment vertical="top"/>
    </xf>
    <xf numFmtId="37" fontId="0" fillId="0" borderId="0" xfId="0" applyNumberFormat="1" applyFill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5" fontId="0" fillId="0" borderId="0" xfId="0" applyNumberFormat="1" applyFont="1" applyFill="1" applyAlignment="1" applyProtection="1">
      <alignment/>
      <protection locked="0"/>
    </xf>
    <xf numFmtId="37" fontId="0" fillId="0" borderId="0" xfId="0" applyNumberFormat="1" applyFill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37" fontId="6" fillId="0" borderId="0" xfId="0" applyNumberFormat="1" applyFont="1" applyFill="1" applyBorder="1" applyAlignment="1">
      <alignment horizontal="center"/>
    </xf>
    <xf numFmtId="37" fontId="12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14" fillId="0" borderId="0" xfId="0" applyNumberFormat="1" applyFont="1" applyFill="1" applyAlignment="1">
      <alignment/>
    </xf>
    <xf numFmtId="37" fontId="8" fillId="0" borderId="0" xfId="0" applyNumberFormat="1" applyFont="1" applyFill="1" applyBorder="1" applyAlignment="1">
      <alignment horizontal="left" wrapText="1"/>
    </xf>
    <xf numFmtId="37" fontId="15" fillId="0" borderId="13" xfId="0" applyNumberFormat="1" applyFont="1" applyFill="1" applyBorder="1" applyAlignment="1">
      <alignment horizontal="center" wrapText="1"/>
    </xf>
    <xf numFmtId="37" fontId="0" fillId="0" borderId="0" xfId="0" applyNumberFormat="1" applyFont="1" applyFill="1" applyBorder="1" applyAlignment="1" quotePrefix="1">
      <alignment horizontal="center" wrapText="1"/>
    </xf>
    <xf numFmtId="37" fontId="14" fillId="0" borderId="0" xfId="0" applyNumberFormat="1" applyFont="1" applyFill="1" applyBorder="1" applyAlignment="1">
      <alignment horizontal="right" indent="1"/>
    </xf>
    <xf numFmtId="37" fontId="0" fillId="0" borderId="0" xfId="0" applyNumberFormat="1" applyFont="1" applyFill="1" applyBorder="1" applyAlignment="1">
      <alignment horizontal="right" indent="1"/>
    </xf>
    <xf numFmtId="0" fontId="0" fillId="0" borderId="0" xfId="0" applyFont="1" applyBorder="1" applyAlignment="1">
      <alignment horizontal="center" wrapText="1"/>
    </xf>
    <xf numFmtId="37" fontId="0" fillId="0" borderId="0" xfId="0" applyNumberFormat="1" applyFill="1" applyBorder="1" applyAlignment="1">
      <alignment horizontal="center" wrapText="1"/>
    </xf>
    <xf numFmtId="37" fontId="9" fillId="0" borderId="14" xfId="0" applyNumberFormat="1" applyFont="1" applyFill="1" applyBorder="1" applyAlignment="1">
      <alignment horizontal="center" wrapText="1"/>
    </xf>
    <xf numFmtId="37" fontId="9" fillId="0" borderId="0" xfId="0" applyNumberFormat="1" applyFont="1" applyFill="1" applyAlignment="1">
      <alignment/>
    </xf>
    <xf numFmtId="37" fontId="9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37" fontId="15" fillId="0" borderId="0" xfId="0" applyNumberFormat="1" applyFont="1" applyFill="1" applyBorder="1" applyAlignment="1">
      <alignment horizontal="center" wrapText="1"/>
    </xf>
    <xf numFmtId="37" fontId="9" fillId="0" borderId="13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37" fontId="18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 horizontal="center" wrapText="1"/>
    </xf>
    <xf numFmtId="37" fontId="9" fillId="0" borderId="0" xfId="0" applyNumberFormat="1" applyFont="1" applyFill="1" applyBorder="1" applyAlignment="1">
      <alignment horizontal="center" wrapText="1"/>
    </xf>
    <xf numFmtId="37" fontId="9" fillId="0" borderId="0" xfId="0" applyNumberFormat="1" applyFont="1" applyFill="1" applyAlignment="1">
      <alignment horizontal="center"/>
    </xf>
    <xf numFmtId="37" fontId="18" fillId="0" borderId="0" xfId="0" applyNumberFormat="1" applyFont="1" applyFill="1" applyBorder="1" applyAlignment="1">
      <alignment horizontal="left" vertical="top"/>
    </xf>
    <xf numFmtId="37" fontId="0" fillId="0" borderId="14" xfId="0" applyNumberFormat="1" applyFont="1" applyFill="1" applyBorder="1" applyAlignment="1">
      <alignment horizontal="center" wrapText="1"/>
    </xf>
    <xf numFmtId="37" fontId="21" fillId="0" borderId="0" xfId="0" applyNumberFormat="1" applyFont="1" applyFill="1" applyBorder="1" applyAlignment="1" quotePrefix="1">
      <alignment horizontal="center" wrapText="1"/>
    </xf>
    <xf numFmtId="37" fontId="18" fillId="0" borderId="0" xfId="0" applyNumberFormat="1" applyFont="1" applyFill="1" applyBorder="1" applyAlignment="1">
      <alignment horizontal="left" vertical="top" wrapText="1"/>
    </xf>
    <xf numFmtId="37" fontId="6" fillId="0" borderId="13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 applyAlignment="1">
      <alignment horizontal="center" wrapText="1"/>
    </xf>
    <xf numFmtId="37" fontId="3" fillId="0" borderId="15" xfId="0" applyNumberFormat="1" applyFont="1" applyFill="1" applyBorder="1" applyAlignment="1">
      <alignment horizontal="center"/>
    </xf>
    <xf numFmtId="37" fontId="0" fillId="0" borderId="13" xfId="0" applyNumberFormat="1" applyFill="1" applyBorder="1" applyAlignment="1">
      <alignment horizontal="center" wrapText="1"/>
    </xf>
    <xf numFmtId="37" fontId="9" fillId="0" borderId="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 wrapText="1"/>
    </xf>
    <xf numFmtId="37" fontId="24" fillId="0" borderId="0" xfId="0" applyNumberFormat="1" applyFont="1" applyFill="1" applyBorder="1" applyAlignment="1">
      <alignment horizontal="center" wrapText="1"/>
    </xf>
    <xf numFmtId="37" fontId="23" fillId="0" borderId="0" xfId="0" applyNumberFormat="1" applyFont="1" applyFill="1" applyAlignment="1">
      <alignment/>
    </xf>
    <xf numFmtId="37" fontId="25" fillId="0" borderId="0" xfId="0" applyNumberFormat="1" applyFont="1" applyFill="1" applyBorder="1" applyAlignment="1">
      <alignment horizontal="center" wrapText="1"/>
    </xf>
    <xf numFmtId="37" fontId="26" fillId="0" borderId="0" xfId="0" applyNumberFormat="1" applyFont="1" applyFill="1" applyAlignment="1">
      <alignment/>
    </xf>
    <xf numFmtId="37" fontId="16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Alignment="1">
      <alignment horizontal="left"/>
    </xf>
    <xf numFmtId="37" fontId="5" fillId="0" borderId="0" xfId="0" applyNumberFormat="1" applyFont="1" applyFill="1" applyBorder="1" applyAlignment="1">
      <alignment horizontal="left"/>
    </xf>
    <xf numFmtId="37" fontId="9" fillId="0" borderId="0" xfId="0" applyNumberFormat="1" applyFont="1" applyFill="1" applyAlignment="1">
      <alignment horizontal="left"/>
    </xf>
    <xf numFmtId="37" fontId="6" fillId="0" borderId="0" xfId="0" applyNumberFormat="1" applyFont="1" applyFill="1" applyBorder="1" applyAlignment="1">
      <alignment horizontal="left"/>
    </xf>
    <xf numFmtId="5" fontId="14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5" fontId="14" fillId="0" borderId="11" xfId="0" applyNumberFormat="1" applyFont="1" applyFill="1" applyBorder="1" applyAlignment="1">
      <alignment/>
    </xf>
    <xf numFmtId="5" fontId="14" fillId="0" borderId="12" xfId="0" applyNumberFormat="1" applyFont="1" applyFill="1" applyBorder="1" applyAlignment="1">
      <alignment/>
    </xf>
    <xf numFmtId="0" fontId="14" fillId="0" borderId="0" xfId="0" applyFont="1" applyAlignment="1">
      <alignment/>
    </xf>
    <xf numFmtId="37" fontId="20" fillId="0" borderId="0" xfId="0" applyNumberFormat="1" applyFont="1" applyFill="1" applyAlignment="1">
      <alignment/>
    </xf>
    <xf numFmtId="37" fontId="18" fillId="0" borderId="0" xfId="0" applyNumberFormat="1" applyFont="1" applyFill="1" applyBorder="1" applyAlignment="1">
      <alignment vertical="top"/>
    </xf>
    <xf numFmtId="0" fontId="14" fillId="0" borderId="0" xfId="0" applyFont="1" applyAlignment="1">
      <alignment vertical="top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37" fontId="4" fillId="0" borderId="0" xfId="0" applyNumberFormat="1" applyFont="1" applyFill="1" applyAlignment="1">
      <alignment horizontal="center" wrapText="1"/>
    </xf>
    <xf numFmtId="37" fontId="19" fillId="0" borderId="0" xfId="0" applyNumberFormat="1" applyFont="1" applyFill="1" applyBorder="1" applyAlignment="1">
      <alignment horizontal="center"/>
    </xf>
    <xf numFmtId="37" fontId="19" fillId="0" borderId="0" xfId="0" applyNumberFormat="1" applyFont="1" applyFill="1" applyBorder="1" applyAlignment="1">
      <alignment/>
    </xf>
    <xf numFmtId="37" fontId="3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4" fillId="0" borderId="0" xfId="0" applyFont="1" applyBorder="1" applyAlignment="1">
      <alignment vertical="top"/>
    </xf>
    <xf numFmtId="37" fontId="20" fillId="0" borderId="0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 horizontal="center" wrapText="1"/>
    </xf>
    <xf numFmtId="37" fontId="18" fillId="0" borderId="0" xfId="0" applyNumberFormat="1" applyFont="1" applyFill="1" applyAlignment="1">
      <alignment/>
    </xf>
    <xf numFmtId="37" fontId="14" fillId="0" borderId="0" xfId="0" applyNumberFormat="1" applyFont="1" applyFill="1" applyAlignment="1">
      <alignment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29" fillId="0" borderId="0" xfId="63" applyFont="1">
      <alignment/>
      <protection/>
    </xf>
    <xf numFmtId="37" fontId="5" fillId="0" borderId="0" xfId="63" applyNumberFormat="1" applyFont="1" applyFill="1" applyBorder="1" applyAlignment="1">
      <alignment horizontal="center" vertical="center"/>
      <protection/>
    </xf>
    <xf numFmtId="37" fontId="5" fillId="0" borderId="0" xfId="63" applyNumberFormat="1" applyFont="1" applyFill="1" applyBorder="1" applyAlignment="1">
      <alignment horizontal="center" wrapText="1"/>
      <protection/>
    </xf>
    <xf numFmtId="197" fontId="5" fillId="0" borderId="0" xfId="63" applyNumberFormat="1" applyFont="1" applyBorder="1" applyAlignment="1">
      <alignment horizontal="center" wrapText="1"/>
      <protection/>
    </xf>
    <xf numFmtId="0" fontId="5" fillId="0" borderId="0" xfId="63" applyFont="1" applyBorder="1" applyAlignment="1">
      <alignment horizontal="center" wrapText="1"/>
      <protection/>
    </xf>
    <xf numFmtId="37" fontId="29" fillId="0" borderId="0" xfId="63" applyNumberFormat="1" applyFont="1" applyFill="1" applyBorder="1" applyAlignment="1">
      <alignment horizontal="center" vertical="center" wrapText="1"/>
      <protection/>
    </xf>
    <xf numFmtId="5" fontId="6" fillId="0" borderId="0" xfId="63" applyNumberFormat="1" applyFont="1" applyFill="1" applyBorder="1">
      <alignment/>
      <protection/>
    </xf>
    <xf numFmtId="37" fontId="6" fillId="0" borderId="0" xfId="63" applyNumberFormat="1" applyFont="1" applyFill="1" applyBorder="1">
      <alignment/>
      <protection/>
    </xf>
    <xf numFmtId="175" fontId="6" fillId="0" borderId="0" xfId="46" applyNumberFormat="1" applyFont="1" applyBorder="1" applyAlignment="1">
      <alignment/>
    </xf>
    <xf numFmtId="175" fontId="6" fillId="0" borderId="15" xfId="46" applyNumberFormat="1" applyFont="1" applyBorder="1" applyAlignment="1">
      <alignment/>
    </xf>
    <xf numFmtId="5" fontId="5" fillId="0" borderId="0" xfId="63" applyNumberFormat="1" applyFont="1" applyFill="1" applyBorder="1">
      <alignment/>
      <protection/>
    </xf>
    <xf numFmtId="0" fontId="5" fillId="0" borderId="0" xfId="63" applyFont="1" applyBorder="1">
      <alignment/>
      <protection/>
    </xf>
    <xf numFmtId="5" fontId="14" fillId="0" borderId="11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center" wrapText="1"/>
    </xf>
    <xf numFmtId="5" fontId="14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5" fontId="14" fillId="0" borderId="0" xfId="0" applyNumberFormat="1" applyFont="1" applyBorder="1" applyAlignment="1">
      <alignment/>
    </xf>
    <xf numFmtId="37" fontId="14" fillId="0" borderId="0" xfId="0" applyNumberFormat="1" applyFont="1" applyBorder="1" applyAlignment="1">
      <alignment/>
    </xf>
    <xf numFmtId="5" fontId="14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3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7" fontId="14" fillId="0" borderId="11" xfId="0" applyNumberFormat="1" applyFont="1" applyFill="1" applyBorder="1" applyAlignment="1">
      <alignment/>
    </xf>
    <xf numFmtId="37" fontId="14" fillId="0" borderId="12" xfId="0" applyNumberFormat="1" applyFont="1" applyFill="1" applyBorder="1" applyAlignment="1">
      <alignment/>
    </xf>
    <xf numFmtId="5" fontId="14" fillId="0" borderId="12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37" fontId="20" fillId="0" borderId="0" xfId="0" applyNumberFormat="1" applyFont="1" applyFill="1" applyAlignment="1">
      <alignment/>
    </xf>
    <xf numFmtId="37" fontId="2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37" fontId="14" fillId="0" borderId="0" xfId="0" applyNumberFormat="1" applyFont="1" applyAlignment="1">
      <alignment/>
    </xf>
    <xf numFmtId="38" fontId="14" fillId="0" borderId="0" xfId="0" applyNumberFormat="1" applyFont="1" applyFill="1" applyAlignment="1">
      <alignment/>
    </xf>
    <xf numFmtId="5" fontId="14" fillId="0" borderId="16" xfId="0" applyNumberFormat="1" applyFont="1" applyFill="1" applyBorder="1" applyAlignment="1">
      <alignment/>
    </xf>
    <xf numFmtId="5" fontId="14" fillId="0" borderId="0" xfId="0" applyNumberFormat="1" applyFont="1" applyFill="1" applyAlignment="1">
      <alignment/>
    </xf>
    <xf numFmtId="5" fontId="14" fillId="0" borderId="13" xfId="0" applyNumberFormat="1" applyFont="1" applyFill="1" applyBorder="1" applyAlignment="1">
      <alignment/>
    </xf>
    <xf numFmtId="37" fontId="14" fillId="0" borderId="13" xfId="0" applyNumberFormat="1" applyFont="1" applyFill="1" applyBorder="1" applyAlignment="1">
      <alignment/>
    </xf>
    <xf numFmtId="5" fontId="14" fillId="0" borderId="17" xfId="0" applyNumberFormat="1" applyFont="1" applyFill="1" applyBorder="1" applyAlignment="1">
      <alignment/>
    </xf>
    <xf numFmtId="5" fontId="14" fillId="0" borderId="18" xfId="0" applyNumberFormat="1" applyFont="1" applyFill="1" applyBorder="1" applyAlignment="1">
      <alignment/>
    </xf>
    <xf numFmtId="37" fontId="16" fillId="0" borderId="0" xfId="0" applyNumberFormat="1" applyFont="1" applyFill="1" applyAlignment="1">
      <alignment/>
    </xf>
    <xf numFmtId="37" fontId="32" fillId="0" borderId="0" xfId="0" applyNumberFormat="1" applyFont="1" applyFill="1" applyAlignment="1">
      <alignment horizontal="left"/>
    </xf>
    <xf numFmtId="37" fontId="32" fillId="0" borderId="0" xfId="0" applyNumberFormat="1" applyFont="1" applyFill="1" applyAlignment="1">
      <alignment/>
    </xf>
    <xf numFmtId="37" fontId="33" fillId="0" borderId="0" xfId="0" applyNumberFormat="1" applyFont="1" applyFill="1" applyAlignment="1" quotePrefix="1">
      <alignment horizontal="right"/>
    </xf>
    <xf numFmtId="0" fontId="0" fillId="0" borderId="0" xfId="0" applyFont="1" applyFill="1" applyBorder="1" applyAlignment="1">
      <alignment horizontal="center" wrapText="1"/>
    </xf>
    <xf numFmtId="37" fontId="18" fillId="0" borderId="0" xfId="0" applyNumberFormat="1" applyFont="1" applyFill="1" applyBorder="1" applyAlignment="1">
      <alignment vertical="top" wrapText="1"/>
    </xf>
    <xf numFmtId="37" fontId="7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7" fontId="17" fillId="0" borderId="0" xfId="0" applyNumberFormat="1" applyFont="1" applyFill="1" applyBorder="1" applyAlignment="1">
      <alignment horizontal="right" indent="1"/>
    </xf>
    <xf numFmtId="37" fontId="0" fillId="0" borderId="0" xfId="0" applyNumberFormat="1" applyFill="1" applyBorder="1" applyAlignment="1">
      <alignment horizontal="center"/>
    </xf>
    <xf numFmtId="37" fontId="5" fillId="0" borderId="0" xfId="0" applyNumberFormat="1" applyFont="1" applyFill="1" applyAlignment="1">
      <alignment horizontal="center" vertical="center"/>
    </xf>
    <xf numFmtId="37" fontId="10" fillId="0" borderId="0" xfId="0" applyNumberFormat="1" applyFont="1" applyFill="1" applyBorder="1" applyAlignment="1" quotePrefix="1">
      <alignment horizontal="center" vertical="center" wrapText="1"/>
    </xf>
    <xf numFmtId="37" fontId="18" fillId="0" borderId="0" xfId="0" applyNumberFormat="1" applyFon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37" fontId="0" fillId="0" borderId="0" xfId="0" applyNumberFormat="1" applyFill="1" applyAlignment="1">
      <alignment horizontal="center" vertical="top"/>
    </xf>
    <xf numFmtId="37" fontId="14" fillId="0" borderId="0" xfId="0" applyNumberFormat="1" applyFont="1" applyFill="1" applyBorder="1" applyAlignment="1">
      <alignment horizontal="center"/>
    </xf>
    <xf numFmtId="5" fontId="77" fillId="0" borderId="0" xfId="0" applyNumberFormat="1" applyFont="1" applyFill="1" applyBorder="1" applyAlignment="1">
      <alignment/>
    </xf>
    <xf numFmtId="37" fontId="77" fillId="0" borderId="0" xfId="0" applyNumberFormat="1" applyFont="1" applyFill="1" applyBorder="1" applyAlignment="1">
      <alignment/>
    </xf>
    <xf numFmtId="38" fontId="14" fillId="0" borderId="0" xfId="0" applyNumberFormat="1" applyFont="1" applyFill="1" applyBorder="1" applyAlignment="1">
      <alignment/>
    </xf>
    <xf numFmtId="37" fontId="26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 vertical="center"/>
    </xf>
    <xf numFmtId="37" fontId="23" fillId="0" borderId="0" xfId="0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left" wrapText="1"/>
    </xf>
    <xf numFmtId="37" fontId="18" fillId="0" borderId="0" xfId="0" applyNumberFormat="1" applyFont="1" applyAlignment="1">
      <alignment horizontal="left" vertical="top"/>
    </xf>
    <xf numFmtId="37" fontId="13" fillId="0" borderId="0" xfId="0" applyNumberFormat="1" applyFont="1" applyFill="1" applyAlignment="1">
      <alignment/>
    </xf>
    <xf numFmtId="37" fontId="13" fillId="0" borderId="0" xfId="0" applyNumberFormat="1" applyFont="1" applyFill="1" applyBorder="1" applyAlignment="1">
      <alignment horizontal="center"/>
    </xf>
    <xf numFmtId="37" fontId="13" fillId="0" borderId="14" xfId="0" applyNumberFormat="1" applyFont="1" applyFill="1" applyBorder="1" applyAlignment="1">
      <alignment horizontal="center"/>
    </xf>
    <xf numFmtId="37" fontId="13" fillId="0" borderId="0" xfId="0" applyNumberFormat="1" applyFont="1" applyFill="1" applyAlignment="1">
      <alignment horizontal="center"/>
    </xf>
    <xf numFmtId="37" fontId="78" fillId="0" borderId="0" xfId="0" applyNumberFormat="1" applyFont="1" applyFill="1" applyBorder="1" applyAlignment="1">
      <alignment horizontal="center" wrapText="1"/>
    </xf>
    <xf numFmtId="5" fontId="14" fillId="0" borderId="13" xfId="0" applyNumberFormat="1" applyFont="1" applyFill="1" applyBorder="1" applyAlignment="1">
      <alignment horizontal="right" indent="1"/>
    </xf>
    <xf numFmtId="37" fontId="14" fillId="0" borderId="13" xfId="0" applyNumberFormat="1" applyFont="1" applyFill="1" applyBorder="1" applyAlignment="1">
      <alignment horizontal="right" indent="1"/>
    </xf>
    <xf numFmtId="5" fontId="14" fillId="0" borderId="17" xfId="0" applyNumberFormat="1" applyFont="1" applyFill="1" applyBorder="1" applyAlignment="1">
      <alignment horizontal="right" indent="1"/>
    </xf>
    <xf numFmtId="5" fontId="14" fillId="0" borderId="18" xfId="0" applyNumberFormat="1" applyFont="1" applyFill="1" applyBorder="1" applyAlignment="1">
      <alignment horizontal="right" indent="1"/>
    </xf>
    <xf numFmtId="0" fontId="16" fillId="0" borderId="0" xfId="63" applyFont="1">
      <alignment/>
      <protection/>
    </xf>
    <xf numFmtId="0" fontId="16" fillId="0" borderId="0" xfId="61" applyFont="1" applyFill="1" applyBorder="1" applyAlignment="1">
      <alignment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5" fillId="0" borderId="0" xfId="61" applyFont="1" applyFill="1" applyBorder="1" applyAlignment="1">
      <alignment/>
      <protection/>
    </xf>
    <xf numFmtId="37" fontId="13" fillId="0" borderId="0" xfId="61" applyNumberFormat="1" applyFont="1" applyFill="1" applyBorder="1" applyAlignment="1">
      <alignment horizontal="center"/>
      <protection/>
    </xf>
    <xf numFmtId="0" fontId="0" fillId="0" borderId="19" xfId="61" applyFont="1" applyFill="1" applyBorder="1">
      <alignment/>
      <protection/>
    </xf>
    <xf numFmtId="0" fontId="0" fillId="0" borderId="20" xfId="61" applyFont="1" applyFill="1" applyBorder="1">
      <alignment/>
      <protection/>
    </xf>
    <xf numFmtId="0" fontId="0" fillId="0" borderId="20" xfId="61" applyFont="1" applyFill="1" applyBorder="1" applyAlignment="1" quotePrefix="1">
      <alignment horizontal="centerContinuous"/>
      <protection/>
    </xf>
    <xf numFmtId="0" fontId="0" fillId="0" borderId="0" xfId="61" applyFont="1" applyFill="1" applyBorder="1" applyAlignment="1">
      <alignment/>
      <protection/>
    </xf>
    <xf numFmtId="0" fontId="0" fillId="0" borderId="21" xfId="61" applyFont="1" applyFill="1" applyBorder="1" applyAlignment="1">
      <alignment horizontal="center" wrapText="1"/>
      <protection/>
    </xf>
    <xf numFmtId="0" fontId="0" fillId="0" borderId="10" xfId="61" applyFont="1" applyFill="1" applyBorder="1" applyAlignment="1">
      <alignment/>
      <protection/>
    </xf>
    <xf numFmtId="0" fontId="0" fillId="0" borderId="10" xfId="61" applyFont="1" applyFill="1" applyBorder="1" applyAlignment="1" quotePrefix="1">
      <alignment horizontal="centerContinuous" wrapText="1"/>
      <protection/>
    </xf>
    <xf numFmtId="0" fontId="0" fillId="0" borderId="22" xfId="61" applyFont="1" applyFill="1" applyBorder="1" applyAlignment="1">
      <alignment horizontal="centerContinuous" wrapText="1"/>
      <protection/>
    </xf>
    <xf numFmtId="0" fontId="0" fillId="0" borderId="23" xfId="61" applyFont="1" applyFill="1" applyBorder="1" applyAlignment="1">
      <alignment horizontal="centerContinuous"/>
      <protection/>
    </xf>
    <xf numFmtId="0" fontId="0" fillId="0" borderId="18" xfId="61" applyFont="1" applyFill="1" applyBorder="1" applyAlignment="1">
      <alignment horizontal="center" wrapText="1"/>
      <protection/>
    </xf>
    <xf numFmtId="0" fontId="0" fillId="0" borderId="24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Continuous" wrapText="1"/>
      <protection/>
    </xf>
    <xf numFmtId="0" fontId="0" fillId="0" borderId="0" xfId="61" applyFont="1" applyFill="1" applyBorder="1" applyAlignment="1" quotePrefix="1">
      <alignment horizontal="centerContinuous" wrapText="1"/>
      <protection/>
    </xf>
    <xf numFmtId="0" fontId="0" fillId="0" borderId="24" xfId="61" applyFont="1" applyFill="1" applyBorder="1" applyAlignment="1">
      <alignment horizontal="centerContinuous" wrapText="1"/>
      <protection/>
    </xf>
    <xf numFmtId="0" fontId="0" fillId="0" borderId="25" xfId="61" applyFont="1" applyFill="1" applyBorder="1" applyAlignment="1">
      <alignment horizontal="centerContinuous"/>
      <protection/>
    </xf>
    <xf numFmtId="0" fontId="3" fillId="0" borderId="1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right"/>
      <protection/>
    </xf>
    <xf numFmtId="0" fontId="0" fillId="0" borderId="25" xfId="61" applyFont="1" applyFill="1" applyBorder="1" applyAlignment="1">
      <alignment horizontal="center"/>
      <protection/>
    </xf>
    <xf numFmtId="0" fontId="0" fillId="0" borderId="19" xfId="61" applyFont="1" applyFill="1" applyBorder="1" applyAlignment="1">
      <alignment horizontal="right"/>
      <protection/>
    </xf>
    <xf numFmtId="0" fontId="0" fillId="0" borderId="26" xfId="61" applyFont="1" applyFill="1" applyBorder="1" applyAlignment="1">
      <alignment horizontal="center"/>
      <protection/>
    </xf>
    <xf numFmtId="0" fontId="0" fillId="0" borderId="13" xfId="61" applyFont="1" applyFill="1" applyBorder="1">
      <alignment/>
      <protection/>
    </xf>
    <xf numFmtId="0" fontId="14" fillId="0" borderId="0" xfId="61" applyFont="1" applyFill="1" applyBorder="1">
      <alignment/>
      <protection/>
    </xf>
    <xf numFmtId="0" fontId="14" fillId="0" borderId="24" xfId="61" applyFont="1" applyFill="1" applyBorder="1" applyAlignment="1">
      <alignment horizontal="center"/>
      <protection/>
    </xf>
    <xf numFmtId="0" fontId="14" fillId="0" borderId="24" xfId="61" applyFont="1" applyFill="1" applyBorder="1">
      <alignment/>
      <protection/>
    </xf>
    <xf numFmtId="0" fontId="14" fillId="0" borderId="25" xfId="61" applyFont="1" applyFill="1" applyBorder="1" applyAlignment="1">
      <alignment horizontal="center"/>
      <protection/>
    </xf>
    <xf numFmtId="0" fontId="14" fillId="0" borderId="0" xfId="61" applyFont="1" applyFill="1" applyBorder="1" applyAlignment="1">
      <alignment horizontal="center"/>
      <protection/>
    </xf>
    <xf numFmtId="0" fontId="10" fillId="0" borderId="13" xfId="61" applyFont="1" applyFill="1" applyBorder="1" applyAlignment="1">
      <alignment horizontal="center"/>
      <protection/>
    </xf>
    <xf numFmtId="0" fontId="14" fillId="0" borderId="24" xfId="61" applyFont="1" applyFill="1" applyBorder="1" applyAlignment="1" quotePrefix="1">
      <alignment horizontal="center"/>
      <protection/>
    </xf>
    <xf numFmtId="167" fontId="14" fillId="0" borderId="0" xfId="61" applyNumberFormat="1" applyFont="1" applyFill="1" applyBorder="1">
      <alignment/>
      <protection/>
    </xf>
    <xf numFmtId="171" fontId="14" fillId="0" borderId="0" xfId="61" applyNumberFormat="1" applyFont="1" applyFill="1" applyBorder="1" applyAlignment="1">
      <alignment horizontal="center"/>
      <protection/>
    </xf>
    <xf numFmtId="167" fontId="14" fillId="0" borderId="24" xfId="61" applyNumberFormat="1" applyFont="1" applyFill="1" applyBorder="1">
      <alignment/>
      <protection/>
    </xf>
    <xf numFmtId="5" fontId="14" fillId="0" borderId="24" xfId="61" applyNumberFormat="1" applyFont="1" applyFill="1" applyBorder="1">
      <alignment/>
      <protection/>
    </xf>
    <xf numFmtId="172" fontId="14" fillId="0" borderId="0" xfId="61" applyNumberFormat="1" applyFont="1" applyFill="1" applyBorder="1" applyAlignment="1">
      <alignment horizontal="center"/>
      <protection/>
    </xf>
    <xf numFmtId="172" fontId="14" fillId="0" borderId="25" xfId="61" applyNumberFormat="1" applyFont="1" applyFill="1" applyBorder="1" applyAlignment="1">
      <alignment horizontal="center"/>
      <protection/>
    </xf>
    <xf numFmtId="5" fontId="14" fillId="0" borderId="13" xfId="61" applyNumberFormat="1" applyFont="1" applyFill="1" applyBorder="1">
      <alignment/>
      <protection/>
    </xf>
    <xf numFmtId="37" fontId="14" fillId="0" borderId="24" xfId="61" applyNumberFormat="1" applyFont="1" applyFill="1" applyBorder="1">
      <alignment/>
      <protection/>
    </xf>
    <xf numFmtId="3" fontId="14" fillId="0" borderId="0" xfId="61" applyNumberFormat="1" applyFont="1" applyFill="1" applyBorder="1">
      <alignment/>
      <protection/>
    </xf>
    <xf numFmtId="37" fontId="14" fillId="0" borderId="13" xfId="61" applyNumberFormat="1" applyFont="1" applyFill="1" applyBorder="1">
      <alignment/>
      <protection/>
    </xf>
    <xf numFmtId="166" fontId="14" fillId="0" borderId="0" xfId="61" applyNumberFormat="1" applyFont="1" applyFill="1" applyBorder="1">
      <alignment/>
      <protection/>
    </xf>
    <xf numFmtId="3" fontId="14" fillId="0" borderId="25" xfId="61" applyNumberFormat="1" applyFont="1" applyFill="1" applyBorder="1" applyAlignment="1">
      <alignment horizontal="center"/>
      <protection/>
    </xf>
    <xf numFmtId="3" fontId="14" fillId="0" borderId="24" xfId="61" applyNumberFormat="1" applyFont="1" applyFill="1" applyBorder="1">
      <alignment/>
      <protection/>
    </xf>
    <xf numFmtId="0" fontId="14" fillId="0" borderId="27" xfId="61" applyFont="1" applyFill="1" applyBorder="1" applyAlignment="1">
      <alignment horizontal="center"/>
      <protection/>
    </xf>
    <xf numFmtId="0" fontId="14" fillId="0" borderId="15" xfId="61" applyFont="1" applyFill="1" applyBorder="1">
      <alignment/>
      <protection/>
    </xf>
    <xf numFmtId="167" fontId="14" fillId="0" borderId="15" xfId="61" applyNumberFormat="1" applyFont="1" applyFill="1" applyBorder="1">
      <alignment/>
      <protection/>
    </xf>
    <xf numFmtId="10" fontId="14" fillId="0" borderId="15" xfId="61" applyNumberFormat="1" applyFont="1" applyFill="1" applyBorder="1" applyAlignment="1">
      <alignment horizontal="center"/>
      <protection/>
    </xf>
    <xf numFmtId="167" fontId="14" fillId="0" borderId="27" xfId="61" applyNumberFormat="1" applyFont="1" applyFill="1" applyBorder="1">
      <alignment/>
      <protection/>
    </xf>
    <xf numFmtId="10" fontId="14" fillId="0" borderId="28" xfId="61" applyNumberFormat="1" applyFont="1" applyFill="1" applyBorder="1" applyAlignment="1">
      <alignment horizontal="center"/>
      <protection/>
    </xf>
    <xf numFmtId="166" fontId="14" fillId="0" borderId="28" xfId="61" applyNumberFormat="1" applyFont="1" applyFill="1" applyBorder="1" applyAlignment="1">
      <alignment horizontal="center"/>
      <protection/>
    </xf>
    <xf numFmtId="5" fontId="14" fillId="0" borderId="29" xfId="49" applyNumberFormat="1" applyFont="1" applyFill="1" applyBorder="1" applyAlignment="1">
      <alignment/>
    </xf>
    <xf numFmtId="224" fontId="0" fillId="0" borderId="0" xfId="61" applyNumberFormat="1" applyFont="1" applyFill="1" applyBorder="1">
      <alignment/>
      <protection/>
    </xf>
    <xf numFmtId="3" fontId="0" fillId="0" borderId="0" xfId="61" applyNumberFormat="1" applyFont="1" applyFill="1" applyBorder="1">
      <alignment/>
      <protection/>
    </xf>
    <xf numFmtId="3" fontId="0" fillId="0" borderId="0" xfId="61" applyNumberFormat="1" applyFont="1" applyFill="1" applyBorder="1" applyAlignment="1">
      <alignment horizontal="center"/>
      <protection/>
    </xf>
    <xf numFmtId="5" fontId="0" fillId="0" borderId="0" xfId="61" applyNumberFormat="1" applyFont="1" applyFill="1" applyBorder="1">
      <alignment/>
      <protection/>
    </xf>
    <xf numFmtId="167" fontId="0" fillId="0" borderId="0" xfId="61" applyNumberFormat="1" applyFont="1" applyFill="1" applyBorder="1">
      <alignment/>
      <protection/>
    </xf>
    <xf numFmtId="37" fontId="79" fillId="0" borderId="0" xfId="0" applyNumberFormat="1" applyFont="1" applyFill="1" applyBorder="1" applyAlignment="1">
      <alignment/>
    </xf>
    <xf numFmtId="37" fontId="80" fillId="0" borderId="0" xfId="0" applyNumberFormat="1" applyFont="1" applyFill="1" applyBorder="1" applyAlignment="1">
      <alignment horizontal="right" vertical="top" wrapText="1"/>
    </xf>
    <xf numFmtId="37" fontId="81" fillId="0" borderId="0" xfId="0" applyNumberFormat="1" applyFont="1" applyFill="1" applyAlignment="1">
      <alignment/>
    </xf>
    <xf numFmtId="37" fontId="80" fillId="0" borderId="0" xfId="0" applyNumberFormat="1" applyFont="1" applyFill="1" applyBorder="1" applyAlignment="1">
      <alignment horizontal="left" vertical="top" wrapText="1"/>
    </xf>
    <xf numFmtId="37" fontId="82" fillId="0" borderId="0" xfId="0" applyNumberFormat="1" applyFont="1" applyFill="1" applyAlignment="1">
      <alignment horizontal="right"/>
    </xf>
    <xf numFmtId="37" fontId="83" fillId="0" borderId="0" xfId="0" applyNumberFormat="1" applyFont="1" applyFill="1" applyAlignment="1">
      <alignment vertical="top"/>
    </xf>
    <xf numFmtId="37" fontId="83" fillId="0" borderId="0" xfId="0" applyNumberFormat="1" applyFont="1" applyFill="1" applyAlignment="1">
      <alignment/>
    </xf>
    <xf numFmtId="37" fontId="3" fillId="0" borderId="30" xfId="0" applyNumberFormat="1" applyFont="1" applyFill="1" applyBorder="1" applyAlignment="1">
      <alignment horizontal="center" vertical="center"/>
    </xf>
    <xf numFmtId="37" fontId="84" fillId="0" borderId="0" xfId="0" applyNumberFormat="1" applyFont="1" applyFill="1" applyAlignment="1">
      <alignment horizontal="left" wrapText="1"/>
    </xf>
    <xf numFmtId="37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37" fontId="0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37" fontId="23" fillId="0" borderId="31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0" borderId="32" xfId="61" applyFont="1" applyFill="1" applyBorder="1" applyAlignment="1" quotePrefix="1">
      <alignment horizontal="center"/>
      <protection/>
    </xf>
    <xf numFmtId="0" fontId="3" fillId="0" borderId="11" xfId="61" applyFont="1" applyFill="1" applyBorder="1" applyAlignment="1" quotePrefix="1">
      <alignment horizontal="center"/>
      <protection/>
    </xf>
    <xf numFmtId="0" fontId="3" fillId="0" borderId="16" xfId="61" applyFont="1" applyFill="1" applyBorder="1" applyAlignment="1" quotePrefix="1">
      <alignment horizontal="center"/>
      <protection/>
    </xf>
    <xf numFmtId="0" fontId="0" fillId="0" borderId="22" xfId="61" applyFont="1" applyFill="1" applyBorder="1" applyAlignment="1">
      <alignment horizontal="center" wrapText="1"/>
      <protection/>
    </xf>
    <xf numFmtId="0" fontId="0" fillId="0" borderId="23" xfId="61" applyFont="1" applyFill="1" applyBorder="1" applyAlignment="1">
      <alignment horizontal="center" wrapText="1"/>
      <protection/>
    </xf>
    <xf numFmtId="0" fontId="0" fillId="0" borderId="10" xfId="61" applyFont="1" applyFill="1" applyBorder="1" applyAlignment="1">
      <alignment horizontal="center" wrapText="1"/>
      <protection/>
    </xf>
    <xf numFmtId="0" fontId="0" fillId="0" borderId="24" xfId="61" applyFont="1" applyFill="1" applyBorder="1" applyAlignment="1">
      <alignment horizontal="center" wrapText="1"/>
      <protection/>
    </xf>
    <xf numFmtId="0" fontId="0" fillId="0" borderId="25" xfId="61" applyFont="1" applyFill="1" applyBorder="1" applyAlignment="1">
      <alignment horizontal="center" wrapText="1"/>
      <protection/>
    </xf>
    <xf numFmtId="168" fontId="0" fillId="0" borderId="30" xfId="61" applyNumberFormat="1" applyFont="1" applyFill="1" applyBorder="1" applyAlignment="1" quotePrefix="1">
      <alignment horizontal="center" wrapText="1"/>
      <protection/>
    </xf>
    <xf numFmtId="168" fontId="0" fillId="0" borderId="33" xfId="61" applyNumberFormat="1" applyFont="1" applyFill="1" applyBorder="1" applyAlignment="1" quotePrefix="1">
      <alignment horizontal="center" wrapText="1"/>
      <protection/>
    </xf>
    <xf numFmtId="37" fontId="5" fillId="0" borderId="15" xfId="63" applyNumberFormat="1" applyFont="1" applyFill="1" applyBorder="1" applyAlignment="1">
      <alignment horizontal="center" vertical="center"/>
      <protection/>
    </xf>
    <xf numFmtId="0" fontId="6" fillId="0" borderId="0" xfId="63" applyNumberFormat="1" applyFont="1" applyAlignment="1">
      <alignment wrapText="1"/>
      <protection/>
    </xf>
    <xf numFmtId="0" fontId="27" fillId="0" borderId="0" xfId="63" applyAlignment="1">
      <alignment wrapText="1"/>
      <protection/>
    </xf>
    <xf numFmtId="0" fontId="6" fillId="0" borderId="0" xfId="63" applyFont="1" applyAlignment="1">
      <alignment horizontal="left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110" zoomScaleNormal="110" zoomScalePageLayoutView="0" workbookViewId="0" topLeftCell="A1">
      <selection activeCell="I4" sqref="I4"/>
    </sheetView>
  </sheetViews>
  <sheetFormatPr defaultColWidth="9.33203125" defaultRowHeight="12.75"/>
  <cols>
    <col min="1" max="1" width="2.33203125" style="2" customWidth="1"/>
    <col min="2" max="2" width="22.33203125" style="2" bestFit="1" customWidth="1"/>
    <col min="3" max="4" width="14.83203125" style="2" customWidth="1"/>
    <col min="5" max="5" width="15" style="2" bestFit="1" customWidth="1"/>
    <col min="6" max="6" width="14.66015625" style="2" customWidth="1"/>
    <col min="7" max="7" width="2.83203125" style="11" customWidth="1"/>
    <col min="8" max="8" width="13.83203125" style="2" customWidth="1"/>
    <col min="9" max="9" width="7.16015625" style="2" customWidth="1"/>
    <col min="10" max="10" width="15" style="2" bestFit="1" customWidth="1"/>
    <col min="11" max="11" width="3.66015625" style="11" customWidth="1"/>
    <col min="12" max="12" width="14.66015625" style="2" customWidth="1"/>
    <col min="13" max="13" width="14.83203125" style="2" customWidth="1"/>
    <col min="14" max="14" width="13.66015625" style="2" customWidth="1"/>
    <col min="15" max="15" width="15" style="2" bestFit="1" customWidth="1"/>
    <col min="16" max="16384" width="9.33203125" style="2" customWidth="1"/>
  </cols>
  <sheetData>
    <row r="1" ht="15.75">
      <c r="N1" s="253" t="s">
        <v>172</v>
      </c>
    </row>
    <row r="2" spans="2:15" ht="18" customHeight="1">
      <c r="B2" s="155" t="s">
        <v>71</v>
      </c>
      <c r="N2" s="158" t="s">
        <v>170</v>
      </c>
      <c r="O2" s="2" t="s">
        <v>171</v>
      </c>
    </row>
    <row r="3" ht="9.75" customHeight="1">
      <c r="B3" s="3"/>
    </row>
    <row r="4" spans="2:14" s="103" customFormat="1" ht="18" customHeight="1" thickBot="1">
      <c r="B4" s="102"/>
      <c r="C4" s="4">
        <v>-1</v>
      </c>
      <c r="D4" s="4">
        <v>-2</v>
      </c>
      <c r="E4" s="4">
        <v>-3</v>
      </c>
      <c r="F4" s="4">
        <v>-4</v>
      </c>
      <c r="G4" s="145"/>
      <c r="H4" s="4">
        <v>-5</v>
      </c>
      <c r="I4" s="4"/>
      <c r="J4" s="4">
        <v>-6</v>
      </c>
      <c r="K4" s="7"/>
      <c r="L4" s="4">
        <v>-7</v>
      </c>
      <c r="M4" s="4">
        <v>-8</v>
      </c>
      <c r="N4" s="4">
        <v>-9</v>
      </c>
    </row>
    <row r="5" spans="3:15" s="5" customFormat="1" ht="18" customHeight="1">
      <c r="C5" s="256" t="s">
        <v>38</v>
      </c>
      <c r="D5" s="256"/>
      <c r="E5" s="256"/>
      <c r="F5" s="256"/>
      <c r="G5" s="146"/>
      <c r="H5" s="256" t="s">
        <v>39</v>
      </c>
      <c r="I5" s="256"/>
      <c r="J5" s="256"/>
      <c r="K5" s="146"/>
      <c r="L5" s="256" t="s">
        <v>49</v>
      </c>
      <c r="M5" s="256"/>
      <c r="N5" s="256"/>
      <c r="O5" s="256"/>
    </row>
    <row r="6" spans="3:15" s="5" customFormat="1" ht="19.5" customHeight="1">
      <c r="C6" s="7"/>
      <c r="D6" s="7"/>
      <c r="E6" s="7"/>
      <c r="F6" s="7"/>
      <c r="G6" s="146"/>
      <c r="H6" s="76" t="s">
        <v>53</v>
      </c>
      <c r="I6" s="32"/>
      <c r="J6" s="76" t="s">
        <v>54</v>
      </c>
      <c r="K6" s="146"/>
      <c r="L6" s="7"/>
      <c r="M6" s="7"/>
      <c r="N6" s="7"/>
      <c r="O6" s="7"/>
    </row>
    <row r="7" spans="2:15" s="19" customFormat="1" ht="57" customHeight="1" thickBot="1">
      <c r="B7" s="17"/>
      <c r="C7" s="17" t="s">
        <v>36</v>
      </c>
      <c r="D7" s="17" t="s">
        <v>33</v>
      </c>
      <c r="E7" s="18" t="s">
        <v>35</v>
      </c>
      <c r="F7" s="17" t="s">
        <v>29</v>
      </c>
      <c r="G7" s="56"/>
      <c r="H7" s="74" t="s">
        <v>55</v>
      </c>
      <c r="I7" s="74"/>
      <c r="J7" s="75" t="s">
        <v>80</v>
      </c>
      <c r="K7" s="56"/>
      <c r="L7" s="17" t="s">
        <v>30</v>
      </c>
      <c r="M7" s="17" t="s">
        <v>34</v>
      </c>
      <c r="N7" s="17" t="s">
        <v>41</v>
      </c>
      <c r="O7" s="17" t="s">
        <v>37</v>
      </c>
    </row>
    <row r="8" spans="2:15" s="8" customFormat="1" ht="22.5">
      <c r="B8" s="20"/>
      <c r="C8" s="20"/>
      <c r="D8" s="20"/>
      <c r="E8" s="20"/>
      <c r="F8" s="21" t="s">
        <v>32</v>
      </c>
      <c r="G8" s="20"/>
      <c r="H8" s="22" t="s">
        <v>91</v>
      </c>
      <c r="I8" s="22"/>
      <c r="J8" s="22" t="s">
        <v>70</v>
      </c>
      <c r="K8" s="20"/>
      <c r="L8" s="23" t="s">
        <v>58</v>
      </c>
      <c r="M8" s="24" t="s">
        <v>65</v>
      </c>
      <c r="N8" s="166" t="s">
        <v>88</v>
      </c>
      <c r="O8" s="21" t="s">
        <v>94</v>
      </c>
    </row>
    <row r="10" spans="2:15" s="10" customFormat="1" ht="12.75">
      <c r="B10" s="12" t="s">
        <v>0</v>
      </c>
      <c r="C10" s="38">
        <v>61662721</v>
      </c>
      <c r="D10" s="43">
        <v>20489000</v>
      </c>
      <c r="E10" s="13">
        <v>2880000</v>
      </c>
      <c r="F10" s="10">
        <f>SUM(C10:E10)</f>
        <v>85031721</v>
      </c>
      <c r="G10" s="12"/>
      <c r="H10" s="10">
        <f>'(B) Base Budget Adjustments'!T8</f>
        <v>-423669</v>
      </c>
      <c r="J10" s="10">
        <f>'(D) SUF revenue-SUG-FTES'!N7</f>
        <v>2017000</v>
      </c>
      <c r="K10" s="12"/>
      <c r="L10" s="10">
        <f>C10+H10</f>
        <v>61239052</v>
      </c>
      <c r="M10" s="10">
        <f aca="true" t="shared" si="0" ref="M10:M32">D10+J10</f>
        <v>22506000</v>
      </c>
      <c r="N10" s="10">
        <f>E10</f>
        <v>2880000</v>
      </c>
      <c r="O10" s="10">
        <f>SUM(L10:N10)</f>
        <v>86625052</v>
      </c>
    </row>
    <row r="11" spans="2:15" ht="12.75">
      <c r="B11" s="11" t="s">
        <v>1</v>
      </c>
      <c r="C11" s="36">
        <v>42940910</v>
      </c>
      <c r="D11" s="25">
        <v>8906000</v>
      </c>
      <c r="E11" s="14">
        <v>756000</v>
      </c>
      <c r="F11" s="2">
        <f>SUM(C11:E11)</f>
        <v>52602910</v>
      </c>
      <c r="H11" s="2">
        <f>'(B) Base Budget Adjustments'!T9</f>
        <v>91693</v>
      </c>
      <c r="J11" s="2">
        <f>'(D) SUF revenue-SUG-FTES'!N8</f>
        <v>490000</v>
      </c>
      <c r="L11" s="2">
        <f>C11+H11</f>
        <v>43032603</v>
      </c>
      <c r="M11" s="2">
        <f t="shared" si="0"/>
        <v>9396000</v>
      </c>
      <c r="N11" s="2">
        <f>E11</f>
        <v>756000</v>
      </c>
      <c r="O11" s="2">
        <f>SUM(L11:N11)</f>
        <v>53184603</v>
      </c>
    </row>
    <row r="12" spans="2:15" ht="12.75">
      <c r="B12" s="11" t="s">
        <v>2</v>
      </c>
      <c r="C12" s="36">
        <v>120878800</v>
      </c>
      <c r="D12" s="25">
        <v>42203000</v>
      </c>
      <c r="E12" s="14">
        <v>8171000</v>
      </c>
      <c r="F12" s="2">
        <f aca="true" t="shared" si="1" ref="F12:F32">SUM(C12:E12)</f>
        <v>171252800</v>
      </c>
      <c r="H12" s="2">
        <f>'(B) Base Budget Adjustments'!T10</f>
        <v>-988058</v>
      </c>
      <c r="J12" s="2">
        <f>'(D) SUF revenue-SUG-FTES'!N9</f>
        <v>4459000</v>
      </c>
      <c r="L12" s="2">
        <f aca="true" t="shared" si="2" ref="L12:L32">C12+H12</f>
        <v>119890742</v>
      </c>
      <c r="M12" s="2">
        <f t="shared" si="0"/>
        <v>46662000</v>
      </c>
      <c r="N12" s="2">
        <f aca="true" t="shared" si="3" ref="N12:N32">E12</f>
        <v>8171000</v>
      </c>
      <c r="O12" s="2">
        <f aca="true" t="shared" si="4" ref="O12:O32">SUM(L12:N12)</f>
        <v>174723742</v>
      </c>
    </row>
    <row r="13" spans="2:15" ht="12.75">
      <c r="B13" s="11" t="s">
        <v>3</v>
      </c>
      <c r="C13" s="36">
        <v>71489966</v>
      </c>
      <c r="D13" s="25">
        <v>31688000</v>
      </c>
      <c r="E13" s="14">
        <v>3094000</v>
      </c>
      <c r="F13" s="2">
        <f t="shared" si="1"/>
        <v>106271966</v>
      </c>
      <c r="H13" s="2">
        <f>'(B) Base Budget Adjustments'!T11</f>
        <v>437177</v>
      </c>
      <c r="J13" s="2">
        <f>'(D) SUF revenue-SUG-FTES'!N10</f>
        <v>2455000</v>
      </c>
      <c r="L13" s="2">
        <f t="shared" si="2"/>
        <v>71927143</v>
      </c>
      <c r="M13" s="2">
        <f t="shared" si="0"/>
        <v>34143000</v>
      </c>
      <c r="N13" s="2">
        <f t="shared" si="3"/>
        <v>3094000</v>
      </c>
      <c r="O13" s="2">
        <f t="shared" si="4"/>
        <v>109164143</v>
      </c>
    </row>
    <row r="14" spans="2:15" ht="12.75">
      <c r="B14" s="11" t="s">
        <v>31</v>
      </c>
      <c r="C14" s="36">
        <v>90684250</v>
      </c>
      <c r="D14" s="25">
        <v>39938000</v>
      </c>
      <c r="E14" s="14">
        <v>10165000</v>
      </c>
      <c r="F14" s="2">
        <f t="shared" si="1"/>
        <v>140787250</v>
      </c>
      <c r="H14" s="2">
        <f>'(B) Base Budget Adjustments'!T12</f>
        <v>-905629</v>
      </c>
      <c r="J14" s="2">
        <f>'(D) SUF revenue-SUG-FTES'!N11</f>
        <v>3628000</v>
      </c>
      <c r="L14" s="2">
        <f t="shared" si="2"/>
        <v>89778621</v>
      </c>
      <c r="M14" s="2">
        <f t="shared" si="0"/>
        <v>43566000</v>
      </c>
      <c r="N14" s="2">
        <f t="shared" si="3"/>
        <v>10165000</v>
      </c>
      <c r="O14" s="2">
        <f t="shared" si="4"/>
        <v>143509621</v>
      </c>
    </row>
    <row r="15" spans="2:15" ht="12.75">
      <c r="B15" s="11" t="s">
        <v>4</v>
      </c>
      <c r="C15" s="36">
        <v>153752550</v>
      </c>
      <c r="D15" s="25">
        <f>56849000-253000</f>
        <v>56596000</v>
      </c>
      <c r="E15" s="14">
        <v>10171000</v>
      </c>
      <c r="F15" s="2">
        <f t="shared" si="1"/>
        <v>220519550</v>
      </c>
      <c r="H15" s="2">
        <f>'(B) Base Budget Adjustments'!T13</f>
        <v>-160038</v>
      </c>
      <c r="J15" s="2">
        <f>'(D) SUF revenue-SUG-FTES'!N12</f>
        <v>6775000</v>
      </c>
      <c r="L15" s="2">
        <f t="shared" si="2"/>
        <v>153592512</v>
      </c>
      <c r="M15" s="2">
        <f t="shared" si="0"/>
        <v>63371000</v>
      </c>
      <c r="N15" s="2">
        <f t="shared" si="3"/>
        <v>10171000</v>
      </c>
      <c r="O15" s="2">
        <f t="shared" si="4"/>
        <v>227134512</v>
      </c>
    </row>
    <row r="16" spans="2:15" ht="12.75">
      <c r="B16" s="11" t="s">
        <v>5</v>
      </c>
      <c r="C16" s="36">
        <v>179133570</v>
      </c>
      <c r="D16" s="25">
        <v>96873000</v>
      </c>
      <c r="E16" s="14">
        <v>19271000</v>
      </c>
      <c r="F16" s="2">
        <f t="shared" si="1"/>
        <v>295277570</v>
      </c>
      <c r="H16" s="2">
        <f>'(B) Base Budget Adjustments'!T14</f>
        <v>641767</v>
      </c>
      <c r="J16" s="2">
        <f>'(D) SUF revenue-SUG-FTES'!N13</f>
        <v>9583000</v>
      </c>
      <c r="L16" s="2">
        <f t="shared" si="2"/>
        <v>179775337</v>
      </c>
      <c r="M16" s="2">
        <f t="shared" si="0"/>
        <v>106456000</v>
      </c>
      <c r="N16" s="2">
        <f t="shared" si="3"/>
        <v>19271000</v>
      </c>
      <c r="O16" s="2">
        <f t="shared" si="4"/>
        <v>305502337</v>
      </c>
    </row>
    <row r="17" spans="2:15" ht="12.75">
      <c r="B17" s="11" t="s">
        <v>6</v>
      </c>
      <c r="C17" s="36">
        <v>76430027</v>
      </c>
      <c r="D17" s="25">
        <v>19755000</v>
      </c>
      <c r="E17" s="14">
        <v>4780000</v>
      </c>
      <c r="F17" s="2">
        <f t="shared" si="1"/>
        <v>100965027</v>
      </c>
      <c r="H17" s="2">
        <f>'(B) Base Budget Adjustments'!T15</f>
        <v>-219587</v>
      </c>
      <c r="J17" s="2">
        <f>'(D) SUF revenue-SUG-FTES'!N14</f>
        <v>1949000</v>
      </c>
      <c r="L17" s="2">
        <f t="shared" si="2"/>
        <v>76210440</v>
      </c>
      <c r="M17" s="2">
        <f t="shared" si="0"/>
        <v>21704000</v>
      </c>
      <c r="N17" s="2">
        <f t="shared" si="3"/>
        <v>4780000</v>
      </c>
      <c r="O17" s="2">
        <f t="shared" si="4"/>
        <v>102694440</v>
      </c>
    </row>
    <row r="18" spans="2:15" ht="12.75">
      <c r="B18" s="11" t="s">
        <v>7</v>
      </c>
      <c r="C18" s="36">
        <v>205079790</v>
      </c>
      <c r="D18" s="25">
        <v>97164000</v>
      </c>
      <c r="E18" s="14">
        <v>20918000</v>
      </c>
      <c r="F18" s="2">
        <f t="shared" si="1"/>
        <v>323161790</v>
      </c>
      <c r="H18" s="2">
        <f>'(B) Base Budget Adjustments'!T16</f>
        <v>-211032</v>
      </c>
      <c r="J18" s="2">
        <f>'(D) SUF revenue-SUG-FTES'!N15</f>
        <v>9591000</v>
      </c>
      <c r="L18" s="2">
        <f t="shared" si="2"/>
        <v>204868758</v>
      </c>
      <c r="M18" s="2">
        <f t="shared" si="0"/>
        <v>106755000</v>
      </c>
      <c r="N18" s="2">
        <f t="shared" si="3"/>
        <v>20918000</v>
      </c>
      <c r="O18" s="2">
        <f t="shared" si="4"/>
        <v>332541758</v>
      </c>
    </row>
    <row r="19" spans="2:15" ht="12.75">
      <c r="B19" s="11" t="s">
        <v>8</v>
      </c>
      <c r="C19" s="36">
        <v>132721064</v>
      </c>
      <c r="D19" s="25">
        <v>60435000</v>
      </c>
      <c r="E19" s="14">
        <v>10208000</v>
      </c>
      <c r="F19" s="2">
        <f t="shared" si="1"/>
        <v>203364064</v>
      </c>
      <c r="H19" s="2">
        <f>'(B) Base Budget Adjustments'!T17</f>
        <v>359085</v>
      </c>
      <c r="J19" s="2">
        <f>'(D) SUF revenue-SUG-FTES'!N16</f>
        <v>5085000</v>
      </c>
      <c r="L19" s="2">
        <f t="shared" si="2"/>
        <v>133080149</v>
      </c>
      <c r="M19" s="2">
        <f t="shared" si="0"/>
        <v>65520000</v>
      </c>
      <c r="N19" s="2">
        <f t="shared" si="3"/>
        <v>10208000</v>
      </c>
      <c r="O19" s="2">
        <f t="shared" si="4"/>
        <v>208808149</v>
      </c>
    </row>
    <row r="20" spans="2:15" ht="12.75">
      <c r="B20" s="11" t="s">
        <v>9</v>
      </c>
      <c r="C20" s="36">
        <v>19033450</v>
      </c>
      <c r="D20" s="25">
        <v>2148000</v>
      </c>
      <c r="E20" s="14">
        <v>2210000</v>
      </c>
      <c r="F20" s="2">
        <f t="shared" si="1"/>
        <v>23391450</v>
      </c>
      <c r="H20" s="2">
        <f>'(B) Base Budget Adjustments'!T18</f>
        <v>-15169</v>
      </c>
      <c r="J20" s="2">
        <f>'(D) SUF revenue-SUG-FTES'!N17</f>
        <v>86000</v>
      </c>
      <c r="L20" s="2">
        <f t="shared" si="2"/>
        <v>19018281</v>
      </c>
      <c r="M20" s="2">
        <f t="shared" si="0"/>
        <v>2234000</v>
      </c>
      <c r="N20" s="2">
        <f t="shared" si="3"/>
        <v>2210000</v>
      </c>
      <c r="O20" s="2">
        <f t="shared" si="4"/>
        <v>23462281</v>
      </c>
    </row>
    <row r="21" spans="2:15" ht="12.75">
      <c r="B21" s="11" t="s">
        <v>10</v>
      </c>
      <c r="C21" s="36">
        <v>53574750</v>
      </c>
      <c r="D21" s="25">
        <v>9482000</v>
      </c>
      <c r="E21" s="14">
        <v>1377000</v>
      </c>
      <c r="F21" s="2">
        <f t="shared" si="1"/>
        <v>64433750</v>
      </c>
      <c r="H21" s="2">
        <f>'(B) Base Budget Adjustments'!T19</f>
        <v>-565047</v>
      </c>
      <c r="J21" s="2">
        <f>'(D) SUF revenue-SUG-FTES'!N18</f>
        <v>1613000</v>
      </c>
      <c r="L21" s="2">
        <f t="shared" si="2"/>
        <v>53009703</v>
      </c>
      <c r="M21" s="2">
        <f t="shared" si="0"/>
        <v>11095000</v>
      </c>
      <c r="N21" s="2">
        <f t="shared" si="3"/>
        <v>1377000</v>
      </c>
      <c r="O21" s="2">
        <f t="shared" si="4"/>
        <v>65481703</v>
      </c>
    </row>
    <row r="22" spans="2:15" ht="12.75">
      <c r="B22" s="11" t="s">
        <v>11</v>
      </c>
      <c r="C22" s="36">
        <v>195369280</v>
      </c>
      <c r="D22" s="25">
        <v>90906000</v>
      </c>
      <c r="E22" s="14">
        <v>17555000</v>
      </c>
      <c r="F22" s="2">
        <f t="shared" si="1"/>
        <v>303830280</v>
      </c>
      <c r="H22" s="2">
        <f>'(B) Base Budget Adjustments'!T20</f>
        <v>-1177344</v>
      </c>
      <c r="J22" s="2">
        <f>'(D) SUF revenue-SUG-FTES'!N19</f>
        <v>10216000</v>
      </c>
      <c r="L22" s="2">
        <f t="shared" si="2"/>
        <v>194191936</v>
      </c>
      <c r="M22" s="2">
        <f t="shared" si="0"/>
        <v>101122000</v>
      </c>
      <c r="N22" s="2">
        <f t="shared" si="3"/>
        <v>17555000</v>
      </c>
      <c r="O22" s="2">
        <f t="shared" si="4"/>
        <v>312868936</v>
      </c>
    </row>
    <row r="23" spans="2:15" ht="12.75">
      <c r="B23" s="11" t="s">
        <v>12</v>
      </c>
      <c r="C23" s="36">
        <v>146607350</v>
      </c>
      <c r="D23" s="25">
        <v>57697000</v>
      </c>
      <c r="E23" s="14">
        <v>9912000</v>
      </c>
      <c r="F23" s="2">
        <f t="shared" si="1"/>
        <v>214216350</v>
      </c>
      <c r="H23" s="2">
        <f>'(B) Base Budget Adjustments'!T21</f>
        <v>-711158</v>
      </c>
      <c r="J23" s="2">
        <f>'(D) SUF revenue-SUG-FTES'!N20</f>
        <v>5126000</v>
      </c>
      <c r="L23" s="2">
        <f t="shared" si="2"/>
        <v>145896192</v>
      </c>
      <c r="M23" s="2">
        <f t="shared" si="0"/>
        <v>62823000</v>
      </c>
      <c r="N23" s="2">
        <f t="shared" si="3"/>
        <v>9912000</v>
      </c>
      <c r="O23" s="2">
        <f t="shared" si="4"/>
        <v>218631192</v>
      </c>
    </row>
    <row r="24" spans="2:15" ht="12.75">
      <c r="B24" s="11" t="s">
        <v>13</v>
      </c>
      <c r="C24" s="36">
        <v>165543608</v>
      </c>
      <c r="D24" s="25">
        <v>71765000</v>
      </c>
      <c r="E24" s="14">
        <v>10180000</v>
      </c>
      <c r="F24" s="2">
        <f t="shared" si="1"/>
        <v>247488608</v>
      </c>
      <c r="H24" s="2">
        <f>'(B) Base Budget Adjustments'!T22</f>
        <v>78889</v>
      </c>
      <c r="J24" s="2">
        <f>'(D) SUF revenue-SUG-FTES'!N21</f>
        <v>7686000</v>
      </c>
      <c r="L24" s="2">
        <f t="shared" si="2"/>
        <v>165622497</v>
      </c>
      <c r="M24" s="2">
        <f t="shared" si="0"/>
        <v>79451000</v>
      </c>
      <c r="N24" s="2">
        <f t="shared" si="3"/>
        <v>10180000</v>
      </c>
      <c r="O24" s="2">
        <f t="shared" si="4"/>
        <v>255253497</v>
      </c>
    </row>
    <row r="25" spans="2:15" ht="12.75">
      <c r="B25" s="11" t="s">
        <v>14</v>
      </c>
      <c r="C25" s="36">
        <v>107400260</v>
      </c>
      <c r="D25" s="25">
        <v>48175000</v>
      </c>
      <c r="E25" s="14">
        <v>7264000</v>
      </c>
      <c r="F25" s="2">
        <f t="shared" si="1"/>
        <v>162839260</v>
      </c>
      <c r="H25" s="2">
        <f>'(B) Base Budget Adjustments'!T23</f>
        <v>-949172</v>
      </c>
      <c r="J25" s="2">
        <f>'(D) SUF revenue-SUG-FTES'!N22</f>
        <v>4065000</v>
      </c>
      <c r="L25" s="2">
        <f t="shared" si="2"/>
        <v>106451088</v>
      </c>
      <c r="M25" s="2">
        <f t="shared" si="0"/>
        <v>52240000</v>
      </c>
      <c r="N25" s="2">
        <f t="shared" si="3"/>
        <v>7264000</v>
      </c>
      <c r="O25" s="2">
        <f t="shared" si="4"/>
        <v>165955088</v>
      </c>
    </row>
    <row r="26" spans="2:15" ht="12.75">
      <c r="B26" s="11" t="s">
        <v>15</v>
      </c>
      <c r="C26" s="36">
        <v>221339350</v>
      </c>
      <c r="D26" s="25">
        <v>91455000</v>
      </c>
      <c r="E26" s="14">
        <v>24604000</v>
      </c>
      <c r="F26" s="2">
        <f t="shared" si="1"/>
        <v>337398350</v>
      </c>
      <c r="H26" s="2">
        <f>'(B) Base Budget Adjustments'!T24</f>
        <v>-71604</v>
      </c>
      <c r="J26" s="2">
        <f>'(D) SUF revenue-SUG-FTES'!N23</f>
        <v>8763000</v>
      </c>
      <c r="L26" s="2">
        <f t="shared" si="2"/>
        <v>221267746</v>
      </c>
      <c r="M26" s="2">
        <f t="shared" si="0"/>
        <v>100218000</v>
      </c>
      <c r="N26" s="2">
        <f t="shared" si="3"/>
        <v>24604000</v>
      </c>
      <c r="O26" s="2">
        <f t="shared" si="4"/>
        <v>346089746</v>
      </c>
    </row>
    <row r="27" spans="2:15" ht="12.75">
      <c r="B27" s="11" t="s">
        <v>16</v>
      </c>
      <c r="C27" s="36">
        <v>171416331</v>
      </c>
      <c r="D27" s="25">
        <v>81900000</v>
      </c>
      <c r="E27" s="14">
        <v>24365000</v>
      </c>
      <c r="F27" s="2">
        <f t="shared" si="1"/>
        <v>277681331</v>
      </c>
      <c r="H27" s="2">
        <f>'(B) Base Budget Adjustments'!T25</f>
        <v>-654882</v>
      </c>
      <c r="J27" s="2">
        <f>'(D) SUF revenue-SUG-FTES'!N24</f>
        <v>7382000</v>
      </c>
      <c r="L27" s="2">
        <f t="shared" si="2"/>
        <v>170761449</v>
      </c>
      <c r="M27" s="2">
        <f t="shared" si="0"/>
        <v>89282000</v>
      </c>
      <c r="N27" s="2">
        <f t="shared" si="3"/>
        <v>24365000</v>
      </c>
      <c r="O27" s="2">
        <f t="shared" si="4"/>
        <v>284408449</v>
      </c>
    </row>
    <row r="28" spans="2:15" ht="12.75">
      <c r="B28" s="11" t="s">
        <v>17</v>
      </c>
      <c r="C28" s="36">
        <v>169960150</v>
      </c>
      <c r="D28" s="25">
        <v>81032000</v>
      </c>
      <c r="E28" s="14">
        <v>21450000</v>
      </c>
      <c r="F28" s="2">
        <f t="shared" si="1"/>
        <v>272442150</v>
      </c>
      <c r="H28" s="2">
        <f>'(B) Base Budget Adjustments'!T26</f>
        <v>-2682328</v>
      </c>
      <c r="J28" s="2">
        <f>'(D) SUF revenue-SUG-FTES'!N25</f>
        <v>8773000</v>
      </c>
      <c r="L28" s="2">
        <f t="shared" si="2"/>
        <v>167277822</v>
      </c>
      <c r="M28" s="2">
        <f t="shared" si="0"/>
        <v>89805000</v>
      </c>
      <c r="N28" s="2">
        <f t="shared" si="3"/>
        <v>21450000</v>
      </c>
      <c r="O28" s="2">
        <f t="shared" si="4"/>
        <v>278532822</v>
      </c>
    </row>
    <row r="29" spans="2:15" ht="12.75">
      <c r="B29" s="11" t="s">
        <v>18</v>
      </c>
      <c r="C29" s="36">
        <v>150281650</v>
      </c>
      <c r="D29" s="25">
        <v>51699000</v>
      </c>
      <c r="E29" s="14">
        <v>25521000</v>
      </c>
      <c r="F29" s="2">
        <f t="shared" si="1"/>
        <v>227501650</v>
      </c>
      <c r="H29" s="2">
        <f>'(B) Base Budget Adjustments'!T27</f>
        <v>-1485222</v>
      </c>
      <c r="J29" s="2">
        <f>'(D) SUF revenue-SUG-FTES'!N26</f>
        <v>5494000</v>
      </c>
      <c r="L29" s="2">
        <f t="shared" si="2"/>
        <v>148796428</v>
      </c>
      <c r="M29" s="2">
        <f t="shared" si="0"/>
        <v>57193000</v>
      </c>
      <c r="N29" s="2">
        <f t="shared" si="3"/>
        <v>25521000</v>
      </c>
      <c r="O29" s="2">
        <f t="shared" si="4"/>
        <v>231510428</v>
      </c>
    </row>
    <row r="30" spans="2:15" ht="12.75">
      <c r="B30" s="11" t="s">
        <v>19</v>
      </c>
      <c r="C30" s="36">
        <v>66746080</v>
      </c>
      <c r="D30" s="25">
        <v>23461000</v>
      </c>
      <c r="E30" s="14">
        <v>3798000</v>
      </c>
      <c r="F30" s="2">
        <f t="shared" si="1"/>
        <v>94005080</v>
      </c>
      <c r="H30" s="2">
        <f>'(B) Base Budget Adjustments'!T28</f>
        <v>439742</v>
      </c>
      <c r="J30" s="2">
        <f>'(D) SUF revenue-SUG-FTES'!N27</f>
        <v>1890000</v>
      </c>
      <c r="L30" s="2">
        <f t="shared" si="2"/>
        <v>67185822</v>
      </c>
      <c r="M30" s="2">
        <f t="shared" si="0"/>
        <v>25351000</v>
      </c>
      <c r="N30" s="2">
        <f t="shared" si="3"/>
        <v>3798000</v>
      </c>
      <c r="O30" s="2">
        <f t="shared" si="4"/>
        <v>96334822</v>
      </c>
    </row>
    <row r="31" spans="2:15" ht="12.75">
      <c r="B31" s="11" t="s">
        <v>20</v>
      </c>
      <c r="C31" s="36">
        <v>64157344</v>
      </c>
      <c r="D31" s="25">
        <v>22200000</v>
      </c>
      <c r="E31" s="14">
        <v>3682000</v>
      </c>
      <c r="F31" s="2">
        <f t="shared" si="1"/>
        <v>90039344</v>
      </c>
      <c r="H31" s="2">
        <f>'(B) Base Budget Adjustments'!T29</f>
        <v>-232071</v>
      </c>
      <c r="J31" s="2">
        <f>'(D) SUF revenue-SUG-FTES'!N28</f>
        <v>2115000</v>
      </c>
      <c r="L31" s="2">
        <f t="shared" si="2"/>
        <v>63925273</v>
      </c>
      <c r="M31" s="2">
        <f t="shared" si="0"/>
        <v>24315000</v>
      </c>
      <c r="N31" s="2">
        <f>E31</f>
        <v>3682000</v>
      </c>
      <c r="O31" s="2">
        <f>SUM(L31:N31)</f>
        <v>91922273</v>
      </c>
    </row>
    <row r="32" spans="2:15" ht="12.75">
      <c r="B32" s="11" t="s">
        <v>21</v>
      </c>
      <c r="C32" s="36">
        <v>63110030</v>
      </c>
      <c r="D32" s="25">
        <v>22713000</v>
      </c>
      <c r="E32" s="14">
        <v>3880000</v>
      </c>
      <c r="F32" s="2">
        <f t="shared" si="1"/>
        <v>89703030</v>
      </c>
      <c r="H32" s="2">
        <f>'(B) Base Budget Adjustments'!T30</f>
        <v>193827</v>
      </c>
      <c r="J32" s="2">
        <f>'(D) SUF revenue-SUG-FTES'!N29</f>
        <v>2166000</v>
      </c>
      <c r="L32" s="2">
        <f t="shared" si="2"/>
        <v>63303857</v>
      </c>
      <c r="M32" s="2">
        <f t="shared" si="0"/>
        <v>24879000</v>
      </c>
      <c r="N32" s="2">
        <f t="shared" si="3"/>
        <v>3880000</v>
      </c>
      <c r="O32" s="2">
        <f t="shared" si="4"/>
        <v>92062857</v>
      </c>
    </row>
    <row r="34" spans="2:15" s="10" customFormat="1" ht="18" customHeight="1">
      <c r="B34" s="15" t="s">
        <v>22</v>
      </c>
      <c r="C34" s="15">
        <f>SUM(C10:C33)</f>
        <v>2729313281</v>
      </c>
      <c r="D34" s="15">
        <f>SUM(D10:D33)</f>
        <v>1128680000</v>
      </c>
      <c r="E34" s="15">
        <f>SUM(E10:E32)</f>
        <v>246212000</v>
      </c>
      <c r="F34" s="15">
        <f>SUM(F10:F33)</f>
        <v>4104205281</v>
      </c>
      <c r="G34" s="12"/>
      <c r="H34" s="15">
        <f>SUM(H10:H33)</f>
        <v>-9209830</v>
      </c>
      <c r="I34" s="15"/>
      <c r="J34" s="15">
        <f>SUM(J10:J33)</f>
        <v>111407000</v>
      </c>
      <c r="K34" s="12"/>
      <c r="L34" s="15">
        <f>SUM(L10:L33)</f>
        <v>2720103451</v>
      </c>
      <c r="M34" s="15">
        <f>SUM(M10:M33)</f>
        <v>1240087000</v>
      </c>
      <c r="N34" s="15">
        <f>SUM(N10:N33)</f>
        <v>246212000</v>
      </c>
      <c r="O34" s="15">
        <f>SUM(O10:O33)</f>
        <v>4206402451</v>
      </c>
    </row>
    <row r="36" spans="2:15" ht="12.75">
      <c r="B36" s="2" t="s">
        <v>23</v>
      </c>
      <c r="C36" s="2">
        <v>74488182</v>
      </c>
      <c r="D36" s="2">
        <v>0</v>
      </c>
      <c r="E36" s="2">
        <v>0</v>
      </c>
      <c r="F36" s="2">
        <f>SUM(C36:E36)</f>
        <v>74488182</v>
      </c>
      <c r="H36" s="2">
        <f>'(B) Base Budget Adjustments'!T34</f>
        <v>648372</v>
      </c>
      <c r="J36" s="2">
        <f>'(D) SUF revenue-SUG-FTES'!N33</f>
        <v>0</v>
      </c>
      <c r="L36" s="2">
        <f>C36+H36</f>
        <v>75136554</v>
      </c>
      <c r="M36" s="2">
        <f>D36+J36</f>
        <v>0</v>
      </c>
      <c r="N36" s="2">
        <f>E36</f>
        <v>0</v>
      </c>
      <c r="O36" s="2">
        <f>SUM(L36:N36)</f>
        <v>75136554</v>
      </c>
    </row>
    <row r="37" spans="2:15" ht="12.75">
      <c r="B37" s="14" t="s">
        <v>47</v>
      </c>
      <c r="C37" s="2">
        <v>1412992</v>
      </c>
      <c r="D37" s="2">
        <v>0</v>
      </c>
      <c r="E37" s="2">
        <v>0</v>
      </c>
      <c r="F37" s="2">
        <f>SUM(C37:E37)</f>
        <v>1412992</v>
      </c>
      <c r="H37" s="2">
        <f>'(B) Base Budget Adjustments'!T35</f>
        <v>118743</v>
      </c>
      <c r="J37" s="2">
        <f>'(D) SUF revenue-SUG-FTES'!N34</f>
        <v>-83000</v>
      </c>
      <c r="L37" s="2">
        <f>C37+H37</f>
        <v>1531735</v>
      </c>
      <c r="M37" s="2">
        <f>D37+J37</f>
        <v>-83000</v>
      </c>
      <c r="N37" s="2">
        <f>E37</f>
        <v>0</v>
      </c>
      <c r="O37" s="2">
        <f>SUM(L37:N37)</f>
        <v>1448735</v>
      </c>
    </row>
    <row r="38" spans="2:15" ht="12.75">
      <c r="B38" s="2" t="s">
        <v>24</v>
      </c>
      <c r="C38" s="2">
        <v>2641455</v>
      </c>
      <c r="D38" s="25">
        <v>1708000</v>
      </c>
      <c r="E38" s="2">
        <v>0</v>
      </c>
      <c r="F38" s="2">
        <f>SUM(C38:E38)</f>
        <v>4349455</v>
      </c>
      <c r="H38" s="2">
        <f>'(B) Base Budget Adjustments'!T36</f>
        <v>19041</v>
      </c>
      <c r="J38" s="2">
        <f>'(D) SUF revenue-SUG-FTES'!N35</f>
        <v>156000</v>
      </c>
      <c r="L38" s="2">
        <f>C38+H38</f>
        <v>2660496</v>
      </c>
      <c r="M38" s="2">
        <f>D38+J38</f>
        <v>1864000</v>
      </c>
      <c r="N38" s="2">
        <f>E38</f>
        <v>0</v>
      </c>
      <c r="O38" s="2">
        <f>SUM(L38:N38)</f>
        <v>4524496</v>
      </c>
    </row>
    <row r="39" spans="2:15" ht="12.75">
      <c r="B39" s="2" t="s">
        <v>25</v>
      </c>
      <c r="C39" s="2">
        <v>193800</v>
      </c>
      <c r="D39" s="2">
        <v>253000</v>
      </c>
      <c r="E39" s="2">
        <v>0</v>
      </c>
      <c r="F39" s="2">
        <f>SUM(C39:E39)</f>
        <v>446800</v>
      </c>
      <c r="H39" s="2">
        <f>'(B) Base Budget Adjustments'!T37</f>
        <v>-87000</v>
      </c>
      <c r="J39" s="2">
        <f>'(D) SUF revenue-SUG-FTES'!N36</f>
        <v>39000</v>
      </c>
      <c r="L39" s="2">
        <f>C39+H39</f>
        <v>106800</v>
      </c>
      <c r="M39" s="2">
        <f>D39+J39</f>
        <v>292000</v>
      </c>
      <c r="N39" s="2">
        <f>E39</f>
        <v>0</v>
      </c>
      <c r="O39" s="2">
        <f>SUM(L39:N39)</f>
        <v>398800</v>
      </c>
    </row>
    <row r="40" spans="2:15" ht="18">
      <c r="B40" s="2" t="s">
        <v>26</v>
      </c>
      <c r="C40" s="2">
        <v>177824290</v>
      </c>
      <c r="D40" s="2">
        <v>0</v>
      </c>
      <c r="E40" s="14">
        <v>1862000</v>
      </c>
      <c r="F40" s="2">
        <f>SUM(C40:E40)</f>
        <v>179686290</v>
      </c>
      <c r="H40" s="2">
        <f>'(B) Base Budget Adjustments'!T38</f>
        <v>-6657326</v>
      </c>
      <c r="I40" s="39"/>
      <c r="J40" s="2">
        <f>'(D) SUF revenue-SUG-FTES'!N37</f>
        <v>0</v>
      </c>
      <c r="K40" s="255">
        <v>2</v>
      </c>
      <c r="L40" s="251">
        <f>C40+H40</f>
        <v>171166964</v>
      </c>
      <c r="M40" s="2">
        <f>D40+J40</f>
        <v>0</v>
      </c>
      <c r="N40" s="2">
        <f>4573000</f>
        <v>4573000</v>
      </c>
      <c r="O40" s="2">
        <f>SUM(L40:N40)</f>
        <v>175739964</v>
      </c>
    </row>
    <row r="42" spans="2:15" s="10" customFormat="1" ht="18" customHeight="1" thickBot="1">
      <c r="B42" s="16" t="s">
        <v>27</v>
      </c>
      <c r="C42" s="16">
        <f>SUM(C34:C40)</f>
        <v>2985874000</v>
      </c>
      <c r="D42" s="16">
        <f>SUM(D34:D40)</f>
        <v>1130641000</v>
      </c>
      <c r="E42" s="16">
        <f>SUM(E34:E40)</f>
        <v>248074000</v>
      </c>
      <c r="F42" s="16">
        <f>SUM(F34:F40)</f>
        <v>4364589000</v>
      </c>
      <c r="G42" s="12"/>
      <c r="H42" s="26">
        <f>SUM(H34:H40)</f>
        <v>-15168000</v>
      </c>
      <c r="I42" s="26"/>
      <c r="J42" s="26">
        <f>SUM(J34:J40)</f>
        <v>111519000</v>
      </c>
      <c r="K42" s="12"/>
      <c r="L42" s="16">
        <f>SUM(L34:L40)</f>
        <v>2970706000</v>
      </c>
      <c r="M42" s="16">
        <f>SUM(M34:M40)</f>
        <v>1242160000</v>
      </c>
      <c r="N42" s="16">
        <f>SUM(N34:N40)</f>
        <v>250785000</v>
      </c>
      <c r="O42" s="16">
        <f>SUM(O34:O40)</f>
        <v>4463651000</v>
      </c>
    </row>
    <row r="44" spans="1:15" ht="18">
      <c r="A44" s="167">
        <v>1</v>
      </c>
      <c r="B44" s="112" t="s">
        <v>43</v>
      </c>
      <c r="C44" s="44"/>
      <c r="D44" s="44"/>
      <c r="E44" s="44"/>
      <c r="F44" s="44"/>
      <c r="G44" s="168"/>
      <c r="H44" s="169"/>
      <c r="I44" s="169"/>
      <c r="J44" s="169"/>
      <c r="K44" s="168"/>
      <c r="L44" s="44"/>
      <c r="M44" s="44"/>
      <c r="N44" s="44"/>
      <c r="O44" s="44"/>
    </row>
    <row r="45" spans="1:15" ht="18">
      <c r="A45" s="254">
        <v>2</v>
      </c>
      <c r="B45" s="257" t="s">
        <v>173</v>
      </c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</row>
  </sheetData>
  <sheetProtection/>
  <mergeCells count="4">
    <mergeCell ref="C5:F5"/>
    <mergeCell ref="H5:J5"/>
    <mergeCell ref="L5:O5"/>
    <mergeCell ref="B45:O45"/>
  </mergeCells>
  <printOptions horizontalCentered="1"/>
  <pageMargins left="0.25" right="0.25" top="0.5" bottom="0.25" header="0.5" footer="0.5"/>
  <pageSetup fitToHeight="1" fitToWidth="1" horizontalDpi="600" verticalDpi="600" orientation="landscape" paperSize="5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6" sqref="B46"/>
    </sheetView>
  </sheetViews>
  <sheetFormatPr defaultColWidth="9.33203125" defaultRowHeight="12.75"/>
  <cols>
    <col min="1" max="1" width="2.83203125" style="2" customWidth="1"/>
    <col min="2" max="2" width="25.83203125" style="2" customWidth="1"/>
    <col min="3" max="3" width="18.16015625" style="2" bestFit="1" customWidth="1"/>
    <col min="4" max="4" width="2.83203125" style="2" customWidth="1"/>
    <col min="5" max="5" width="14.83203125" style="28" bestFit="1" customWidth="1"/>
    <col min="6" max="6" width="2.83203125" style="28" customWidth="1"/>
    <col min="7" max="7" width="15.5" style="28" customWidth="1"/>
    <col min="8" max="8" width="2.83203125" style="28" customWidth="1"/>
    <col min="9" max="9" width="21" style="28" customWidth="1"/>
    <col min="10" max="10" width="2.83203125" style="28" customWidth="1"/>
    <col min="11" max="11" width="14.33203125" style="28" customWidth="1"/>
    <col min="12" max="12" width="2.83203125" style="28" customWidth="1"/>
    <col min="13" max="13" width="13.33203125" style="28" bestFit="1" customWidth="1"/>
    <col min="14" max="14" width="2.83203125" style="28" customWidth="1"/>
    <col min="15" max="15" width="13.33203125" style="28" customWidth="1"/>
    <col min="16" max="16" width="2.83203125" style="28" customWidth="1"/>
    <col min="17" max="18" width="14.83203125" style="28" customWidth="1"/>
    <col min="19" max="19" width="2.83203125" style="2" customWidth="1"/>
    <col min="20" max="20" width="16" style="2" bestFit="1" customWidth="1"/>
    <col min="21" max="21" width="2.83203125" style="2" customWidth="1"/>
    <col min="22" max="22" width="18.16015625" style="2" bestFit="1" customWidth="1"/>
    <col min="23" max="23" width="14.16015625" style="2" bestFit="1" customWidth="1"/>
    <col min="25" max="16384" width="9.33203125" style="2" customWidth="1"/>
  </cols>
  <sheetData>
    <row r="1" spans="2:18" ht="16.5">
      <c r="B1" s="155" t="s">
        <v>72</v>
      </c>
      <c r="C1" s="3"/>
      <c r="D1" s="3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2:18" ht="9" customHeight="1">
      <c r="B2" s="3"/>
      <c r="C2" s="3"/>
      <c r="D2" s="3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3:22" s="180" customFormat="1" ht="14.25">
      <c r="C3" s="181">
        <f>-1</f>
        <v>-1</v>
      </c>
      <c r="E3" s="181">
        <v>-2</v>
      </c>
      <c r="F3" s="181"/>
      <c r="G3" s="181">
        <v>-3</v>
      </c>
      <c r="H3" s="181"/>
      <c r="K3" s="181">
        <v>-4</v>
      </c>
      <c r="L3" s="181"/>
      <c r="M3" s="181">
        <v>-5</v>
      </c>
      <c r="N3" s="181"/>
      <c r="O3" s="181">
        <v>-6</v>
      </c>
      <c r="P3" s="181"/>
      <c r="Q3" s="181">
        <v>-7</v>
      </c>
      <c r="R3" s="181">
        <v>-8</v>
      </c>
      <c r="T3" s="182">
        <f>-9</f>
        <v>-9</v>
      </c>
      <c r="V3" s="183"/>
    </row>
    <row r="4" spans="3:22" s="29" customFormat="1" ht="6" customHeight="1">
      <c r="C4" s="46"/>
      <c r="E4" s="46"/>
      <c r="F4" s="46"/>
      <c r="G4" s="46"/>
      <c r="H4" s="46"/>
      <c r="I4" s="46"/>
      <c r="J4" s="46"/>
      <c r="K4" s="30"/>
      <c r="L4" s="46"/>
      <c r="M4" s="30"/>
      <c r="N4" s="46"/>
      <c r="O4" s="46"/>
      <c r="P4" s="46"/>
      <c r="Q4" s="46"/>
      <c r="R4" s="46"/>
      <c r="T4" s="73"/>
      <c r="V4" s="30"/>
    </row>
    <row r="5" spans="2:22" s="19" customFormat="1" ht="63.75">
      <c r="B5" s="56"/>
      <c r="C5" s="56" t="s">
        <v>96</v>
      </c>
      <c r="D5" s="56"/>
      <c r="E5" s="56" t="s">
        <v>40</v>
      </c>
      <c r="F5" s="56"/>
      <c r="G5" s="35" t="s">
        <v>51</v>
      </c>
      <c r="H5" s="50"/>
      <c r="I5" s="57" t="s">
        <v>42</v>
      </c>
      <c r="J5" s="67"/>
      <c r="K5" s="159" t="s">
        <v>52</v>
      </c>
      <c r="L5" s="50"/>
      <c r="M5" s="159" t="s">
        <v>56</v>
      </c>
      <c r="N5" s="50">
        <v>3</v>
      </c>
      <c r="O5" s="184" t="s">
        <v>89</v>
      </c>
      <c r="P5" s="50">
        <v>4</v>
      </c>
      <c r="Q5" s="67" t="s">
        <v>81</v>
      </c>
      <c r="R5" s="67" t="s">
        <v>48</v>
      </c>
      <c r="S5" s="56"/>
      <c r="T5" s="77" t="s">
        <v>28</v>
      </c>
      <c r="U5" s="56"/>
      <c r="V5" s="70" t="s">
        <v>50</v>
      </c>
    </row>
    <row r="6" spans="1:22" ht="12.75" customHeight="1">
      <c r="A6" s="58"/>
      <c r="B6" s="59"/>
      <c r="C6" s="59"/>
      <c r="D6" s="59"/>
      <c r="E6" s="60"/>
      <c r="F6" s="60"/>
      <c r="G6" s="60"/>
      <c r="H6" s="60"/>
      <c r="I6" s="51" t="s">
        <v>32</v>
      </c>
      <c r="J6" s="61"/>
      <c r="K6" s="61"/>
      <c r="L6" s="60"/>
      <c r="M6" s="61"/>
      <c r="N6" s="60"/>
      <c r="O6" s="60"/>
      <c r="P6" s="60"/>
      <c r="Q6" s="61" t="s">
        <v>69</v>
      </c>
      <c r="R6" s="61" t="s">
        <v>57</v>
      </c>
      <c r="S6" s="59"/>
      <c r="T6" s="51" t="s">
        <v>90</v>
      </c>
      <c r="U6" s="59"/>
      <c r="V6" s="51" t="s">
        <v>92</v>
      </c>
    </row>
    <row r="7" spans="1:22" ht="9" customHeight="1">
      <c r="A7" s="58"/>
      <c r="B7" s="59"/>
      <c r="C7" s="59"/>
      <c r="D7" s="59"/>
      <c r="E7" s="60"/>
      <c r="F7" s="60"/>
      <c r="G7" s="60"/>
      <c r="H7" s="60"/>
      <c r="I7" s="51"/>
      <c r="J7" s="61"/>
      <c r="K7" s="61"/>
      <c r="L7" s="60"/>
      <c r="M7" s="61"/>
      <c r="N7" s="60"/>
      <c r="O7" s="60"/>
      <c r="P7" s="60"/>
      <c r="Q7" s="60"/>
      <c r="R7" s="60"/>
      <c r="S7" s="59"/>
      <c r="T7" s="62"/>
      <c r="U7" s="59"/>
      <c r="V7" s="62"/>
    </row>
    <row r="8" spans="2:22" s="150" customFormat="1" ht="15">
      <c r="B8" s="150" t="s">
        <v>0</v>
      </c>
      <c r="C8" s="134">
        <f>'(A) Gross Budget Summary'!C10</f>
        <v>61662721</v>
      </c>
      <c r="D8" s="134"/>
      <c r="E8" s="134">
        <v>-174000</v>
      </c>
      <c r="F8" s="134"/>
      <c r="G8" s="129"/>
      <c r="H8" s="134"/>
      <c r="I8" s="151">
        <f>C8+E8+G8</f>
        <v>61488721</v>
      </c>
      <c r="J8" s="129"/>
      <c r="K8" s="129"/>
      <c r="L8" s="129"/>
      <c r="M8" s="129"/>
      <c r="N8" s="129"/>
      <c r="O8" s="129">
        <v>-11869</v>
      </c>
      <c r="P8" s="129"/>
      <c r="Q8" s="129">
        <f>'(D) SUF revenue-SUG-FTES'!P7</f>
        <v>-673000</v>
      </c>
      <c r="R8" s="129">
        <f>'(E) SUG'!L9</f>
        <v>435200</v>
      </c>
      <c r="S8" s="134"/>
      <c r="T8" s="185">
        <f>E8+K8+G8+M8+Q8+R8+O8</f>
        <v>-423669</v>
      </c>
      <c r="U8" s="134"/>
      <c r="V8" s="151">
        <f aca="true" t="shared" si="0" ref="V8:V30">C8+T8</f>
        <v>61239052</v>
      </c>
    </row>
    <row r="9" spans="2:24" s="49" customFormat="1" ht="15">
      <c r="B9" s="49" t="s">
        <v>1</v>
      </c>
      <c r="C9" s="112">
        <f>'(A) Gross Budget Summary'!C11</f>
        <v>42940910</v>
      </c>
      <c r="D9" s="112"/>
      <c r="E9" s="112">
        <v>-113000</v>
      </c>
      <c r="F9" s="112"/>
      <c r="G9" s="130"/>
      <c r="H9" s="112"/>
      <c r="I9" s="152">
        <f>C9+E9+G9</f>
        <v>42827910</v>
      </c>
      <c r="J9" s="130"/>
      <c r="K9" s="130"/>
      <c r="L9" s="130"/>
      <c r="M9" s="130"/>
      <c r="N9" s="130"/>
      <c r="O9" s="130">
        <v>-9207</v>
      </c>
      <c r="P9" s="130"/>
      <c r="Q9" s="130">
        <f>'(D) SUF revenue-SUG-FTES'!P8</f>
        <v>-164000</v>
      </c>
      <c r="R9" s="130">
        <f>'(E) SUG'!L10</f>
        <v>377900</v>
      </c>
      <c r="S9" s="112"/>
      <c r="T9" s="186">
        <f>E9+G9+K9+M9+Q9+R9+O9</f>
        <v>91693</v>
      </c>
      <c r="U9" s="112"/>
      <c r="V9" s="152">
        <f t="shared" si="0"/>
        <v>43032603</v>
      </c>
      <c r="X9" s="93"/>
    </row>
    <row r="10" spans="2:24" s="49" customFormat="1" ht="15">
      <c r="B10" s="49" t="s">
        <v>2</v>
      </c>
      <c r="C10" s="112">
        <f>'(A) Gross Budget Summary'!C12</f>
        <v>120878800</v>
      </c>
      <c r="D10" s="112"/>
      <c r="E10" s="112">
        <v>-351000</v>
      </c>
      <c r="F10" s="112"/>
      <c r="G10" s="130"/>
      <c r="H10" s="112"/>
      <c r="I10" s="152">
        <f aca="true" t="shared" si="1" ref="I10:I30">C10+E10+G10</f>
        <v>120527800</v>
      </c>
      <c r="J10" s="130"/>
      <c r="K10" s="130"/>
      <c r="L10" s="130"/>
      <c r="M10" s="130"/>
      <c r="N10" s="130"/>
      <c r="O10" s="130">
        <v>-42758</v>
      </c>
      <c r="P10" s="130"/>
      <c r="Q10" s="130">
        <f>'(D) SUF revenue-SUG-FTES'!P9</f>
        <v>-1486000</v>
      </c>
      <c r="R10" s="130">
        <f>'(E) SUG'!L11</f>
        <v>891700</v>
      </c>
      <c r="S10" s="112"/>
      <c r="T10" s="186">
        <f aca="true" t="shared" si="2" ref="T10:T30">E10+G10+K10+M10+Q10+R10+O10</f>
        <v>-988058</v>
      </c>
      <c r="U10" s="112"/>
      <c r="V10" s="152">
        <f t="shared" si="0"/>
        <v>119890742</v>
      </c>
      <c r="X10" s="93"/>
    </row>
    <row r="11" spans="2:24" s="49" customFormat="1" ht="15">
      <c r="B11" s="49" t="s">
        <v>3</v>
      </c>
      <c r="C11" s="112">
        <f>'(A) Gross Budget Summary'!C13</f>
        <v>71489966</v>
      </c>
      <c r="D11" s="112"/>
      <c r="E11" s="112">
        <v>-206000</v>
      </c>
      <c r="F11" s="112"/>
      <c r="G11" s="130"/>
      <c r="H11" s="112"/>
      <c r="I11" s="152">
        <f t="shared" si="1"/>
        <v>71283966</v>
      </c>
      <c r="J11" s="130"/>
      <c r="K11" s="130"/>
      <c r="L11" s="130"/>
      <c r="M11" s="130"/>
      <c r="N11" s="130"/>
      <c r="O11" s="130">
        <v>-20923</v>
      </c>
      <c r="P11" s="130"/>
      <c r="Q11" s="130">
        <f>'(D) SUF revenue-SUG-FTES'!P10</f>
        <v>-818000</v>
      </c>
      <c r="R11" s="130">
        <f>'(E) SUG'!L12</f>
        <v>1482100</v>
      </c>
      <c r="S11" s="112"/>
      <c r="T11" s="186">
        <f t="shared" si="2"/>
        <v>437177</v>
      </c>
      <c r="U11" s="112"/>
      <c r="V11" s="152">
        <f t="shared" si="0"/>
        <v>71927143</v>
      </c>
      <c r="X11" s="93"/>
    </row>
    <row r="12" spans="2:24" s="49" customFormat="1" ht="15">
      <c r="B12" s="49" t="s">
        <v>31</v>
      </c>
      <c r="C12" s="112">
        <f>'(A) Gross Budget Summary'!C14</f>
        <v>90684250</v>
      </c>
      <c r="D12" s="112"/>
      <c r="E12" s="112">
        <v>-291000</v>
      </c>
      <c r="F12" s="112"/>
      <c r="G12" s="130"/>
      <c r="H12" s="112"/>
      <c r="I12" s="152">
        <f t="shared" si="1"/>
        <v>90393250</v>
      </c>
      <c r="J12" s="130"/>
      <c r="K12" s="130"/>
      <c r="L12" s="130"/>
      <c r="M12" s="130"/>
      <c r="N12" s="130"/>
      <c r="O12" s="130">
        <v>-21329</v>
      </c>
      <c r="P12" s="130"/>
      <c r="Q12" s="130">
        <f>'(D) SUF revenue-SUG-FTES'!P11</f>
        <v>-1210000</v>
      </c>
      <c r="R12" s="130">
        <f>'(E) SUG'!L13</f>
        <v>616700</v>
      </c>
      <c r="S12" s="112"/>
      <c r="T12" s="186">
        <f t="shared" si="2"/>
        <v>-905629</v>
      </c>
      <c r="U12" s="112"/>
      <c r="V12" s="152">
        <f t="shared" si="0"/>
        <v>89778621</v>
      </c>
      <c r="X12" s="93"/>
    </row>
    <row r="13" spans="2:24" s="49" customFormat="1" ht="15">
      <c r="B13" s="49" t="s">
        <v>4</v>
      </c>
      <c r="C13" s="112">
        <f>'(A) Gross Budget Summary'!C15</f>
        <v>153752550</v>
      </c>
      <c r="D13" s="112"/>
      <c r="E13" s="112">
        <v>-419000</v>
      </c>
      <c r="F13" s="112"/>
      <c r="G13" s="130"/>
      <c r="H13" s="112"/>
      <c r="I13" s="152">
        <f t="shared" si="1"/>
        <v>153333550</v>
      </c>
      <c r="J13" s="130"/>
      <c r="K13" s="130"/>
      <c r="L13" s="130"/>
      <c r="M13" s="130"/>
      <c r="N13" s="130"/>
      <c r="O13" s="130">
        <v>-69538</v>
      </c>
      <c r="P13" s="130"/>
      <c r="Q13" s="130">
        <f>'(D) SUF revenue-SUG-FTES'!P12</f>
        <v>-2258000</v>
      </c>
      <c r="R13" s="130">
        <f>'(E) SUG'!L14</f>
        <v>2586500</v>
      </c>
      <c r="S13" s="112"/>
      <c r="T13" s="186">
        <f t="shared" si="2"/>
        <v>-160038</v>
      </c>
      <c r="U13" s="112"/>
      <c r="V13" s="152">
        <f t="shared" si="0"/>
        <v>153592512</v>
      </c>
      <c r="X13" s="93"/>
    </row>
    <row r="14" spans="2:24" s="49" customFormat="1" ht="15">
      <c r="B14" s="49" t="s">
        <v>5</v>
      </c>
      <c r="C14" s="112">
        <f>'(A) Gross Budget Summary'!C16</f>
        <v>179133570</v>
      </c>
      <c r="D14" s="112"/>
      <c r="E14" s="112">
        <v>-588000</v>
      </c>
      <c r="F14" s="112"/>
      <c r="G14" s="130"/>
      <c r="H14" s="112"/>
      <c r="I14" s="152">
        <f t="shared" si="1"/>
        <v>178545570</v>
      </c>
      <c r="J14" s="130"/>
      <c r="K14" s="130"/>
      <c r="L14" s="130"/>
      <c r="M14" s="130"/>
      <c r="N14" s="130"/>
      <c r="O14" s="130">
        <v>-41033</v>
      </c>
      <c r="P14" s="130"/>
      <c r="Q14" s="130">
        <f>'(D) SUF revenue-SUG-FTES'!P13</f>
        <v>-3194000</v>
      </c>
      <c r="R14" s="130">
        <f>'(E) SUG'!L15</f>
        <v>4464800</v>
      </c>
      <c r="S14" s="112"/>
      <c r="T14" s="186">
        <f t="shared" si="2"/>
        <v>641767</v>
      </c>
      <c r="U14" s="112"/>
      <c r="V14" s="152">
        <f t="shared" si="0"/>
        <v>179775337</v>
      </c>
      <c r="X14" s="93"/>
    </row>
    <row r="15" spans="2:24" s="49" customFormat="1" ht="15">
      <c r="B15" s="49" t="s">
        <v>6</v>
      </c>
      <c r="C15" s="112">
        <f>'(A) Gross Budget Summary'!C17</f>
        <v>76430027</v>
      </c>
      <c r="D15" s="112"/>
      <c r="E15" s="112">
        <v>-202000</v>
      </c>
      <c r="F15" s="112"/>
      <c r="G15" s="130"/>
      <c r="H15" s="112"/>
      <c r="I15" s="152">
        <f t="shared" si="1"/>
        <v>76228027</v>
      </c>
      <c r="J15" s="130"/>
      <c r="K15" s="130"/>
      <c r="L15" s="130"/>
      <c r="M15" s="130"/>
      <c r="N15" s="130"/>
      <c r="O15" s="130">
        <v>-27187</v>
      </c>
      <c r="P15" s="130"/>
      <c r="Q15" s="130">
        <f>'(D) SUF revenue-SUG-FTES'!P14</f>
        <v>-650000</v>
      </c>
      <c r="R15" s="130">
        <f>'(E) SUG'!L16</f>
        <v>659600</v>
      </c>
      <c r="S15" s="112"/>
      <c r="T15" s="186">
        <f t="shared" si="2"/>
        <v>-219587</v>
      </c>
      <c r="U15" s="112"/>
      <c r="V15" s="152">
        <f t="shared" si="0"/>
        <v>76210440</v>
      </c>
      <c r="X15" s="93"/>
    </row>
    <row r="16" spans="2:24" s="49" customFormat="1" ht="15">
      <c r="B16" s="49" t="s">
        <v>7</v>
      </c>
      <c r="C16" s="112">
        <f>'(A) Gross Budget Summary'!C18</f>
        <v>205079790</v>
      </c>
      <c r="D16" s="112"/>
      <c r="E16" s="112">
        <v>-693000</v>
      </c>
      <c r="F16" s="112"/>
      <c r="G16" s="130"/>
      <c r="H16" s="112"/>
      <c r="I16" s="152">
        <f t="shared" si="1"/>
        <v>204386790</v>
      </c>
      <c r="J16" s="130"/>
      <c r="K16" s="130"/>
      <c r="L16" s="130"/>
      <c r="M16" s="130"/>
      <c r="N16" s="130"/>
      <c r="O16" s="130">
        <v>-60332</v>
      </c>
      <c r="P16" s="130"/>
      <c r="Q16" s="130">
        <f>'(D) SUF revenue-SUG-FTES'!P15</f>
        <v>-3197000</v>
      </c>
      <c r="R16" s="130">
        <f>'(E) SUG'!L17</f>
        <v>3739300</v>
      </c>
      <c r="S16" s="112"/>
      <c r="T16" s="186">
        <f t="shared" si="2"/>
        <v>-211032</v>
      </c>
      <c r="U16" s="112"/>
      <c r="V16" s="152">
        <f t="shared" si="0"/>
        <v>204868758</v>
      </c>
      <c r="X16" s="93"/>
    </row>
    <row r="17" spans="2:24" s="49" customFormat="1" ht="15">
      <c r="B17" s="49" t="s">
        <v>8</v>
      </c>
      <c r="C17" s="112">
        <f>'(A) Gross Budget Summary'!C19</f>
        <v>132721064</v>
      </c>
      <c r="D17" s="112"/>
      <c r="E17" s="112">
        <v>-411000</v>
      </c>
      <c r="F17" s="112"/>
      <c r="G17" s="130"/>
      <c r="H17" s="112"/>
      <c r="I17" s="152">
        <f t="shared" si="1"/>
        <v>132310064</v>
      </c>
      <c r="J17" s="130"/>
      <c r="K17" s="130"/>
      <c r="L17" s="130"/>
      <c r="M17" s="130"/>
      <c r="N17" s="130"/>
      <c r="O17" s="130">
        <v>-30915</v>
      </c>
      <c r="P17" s="130"/>
      <c r="Q17" s="130">
        <f>'(D) SUF revenue-SUG-FTES'!P16</f>
        <v>-1695000</v>
      </c>
      <c r="R17" s="130">
        <f>'(E) SUG'!L18</f>
        <v>2496000</v>
      </c>
      <c r="S17" s="112"/>
      <c r="T17" s="186">
        <f t="shared" si="2"/>
        <v>359085</v>
      </c>
      <c r="U17" s="112"/>
      <c r="V17" s="152">
        <f t="shared" si="0"/>
        <v>133080149</v>
      </c>
      <c r="X17" s="93"/>
    </row>
    <row r="18" spans="2:24" s="49" customFormat="1" ht="15">
      <c r="B18" s="49" t="s">
        <v>9</v>
      </c>
      <c r="C18" s="112">
        <f>'(A) Gross Budget Summary'!C20</f>
        <v>19033450</v>
      </c>
      <c r="D18" s="112"/>
      <c r="E18" s="112">
        <v>-46000</v>
      </c>
      <c r="F18" s="112"/>
      <c r="G18" s="130"/>
      <c r="H18" s="112"/>
      <c r="I18" s="152">
        <f t="shared" si="1"/>
        <v>18987450</v>
      </c>
      <c r="J18" s="130"/>
      <c r="K18" s="130"/>
      <c r="L18" s="130"/>
      <c r="M18" s="130"/>
      <c r="N18" s="130"/>
      <c r="O18" s="130">
        <v>-3069</v>
      </c>
      <c r="P18" s="130"/>
      <c r="Q18" s="130">
        <f>'(D) SUF revenue-SUG-FTES'!P17</f>
        <v>-29000</v>
      </c>
      <c r="R18" s="130">
        <f>'(E) SUG'!L19</f>
        <v>62900</v>
      </c>
      <c r="S18" s="112"/>
      <c r="T18" s="186">
        <f t="shared" si="2"/>
        <v>-15169</v>
      </c>
      <c r="U18" s="112"/>
      <c r="V18" s="152">
        <f t="shared" si="0"/>
        <v>19018281</v>
      </c>
      <c r="X18" s="93"/>
    </row>
    <row r="19" spans="2:24" s="49" customFormat="1" ht="15">
      <c r="B19" s="49" t="s">
        <v>10</v>
      </c>
      <c r="C19" s="112">
        <f>'(A) Gross Budget Summary'!C21</f>
        <v>53574750</v>
      </c>
      <c r="D19" s="112"/>
      <c r="E19" s="112">
        <v>-128000</v>
      </c>
      <c r="F19" s="112"/>
      <c r="G19" s="130"/>
      <c r="H19" s="112"/>
      <c r="I19" s="152">
        <f t="shared" si="1"/>
        <v>53446750</v>
      </c>
      <c r="J19" s="130"/>
      <c r="K19" s="130"/>
      <c r="L19" s="130"/>
      <c r="M19" s="130"/>
      <c r="N19" s="130"/>
      <c r="O19" s="130">
        <v>-22647</v>
      </c>
      <c r="P19" s="130"/>
      <c r="Q19" s="130">
        <f>'(D) SUF revenue-SUG-FTES'!P18</f>
        <v>-538000</v>
      </c>
      <c r="R19" s="130">
        <f>'(E) SUG'!L20</f>
        <v>123600</v>
      </c>
      <c r="S19" s="112"/>
      <c r="T19" s="186">
        <f t="shared" si="2"/>
        <v>-565047</v>
      </c>
      <c r="U19" s="112"/>
      <c r="V19" s="152">
        <f t="shared" si="0"/>
        <v>53009703</v>
      </c>
      <c r="X19" s="93"/>
    </row>
    <row r="20" spans="2:24" s="49" customFormat="1" ht="15">
      <c r="B20" s="49" t="s">
        <v>11</v>
      </c>
      <c r="C20" s="112">
        <f>'(A) Gross Budget Summary'!C22</f>
        <v>195369280</v>
      </c>
      <c r="D20" s="112"/>
      <c r="E20" s="112">
        <v>-567000</v>
      </c>
      <c r="F20" s="112"/>
      <c r="G20" s="130"/>
      <c r="H20" s="112"/>
      <c r="I20" s="152">
        <f t="shared" si="1"/>
        <v>194802280</v>
      </c>
      <c r="J20" s="130"/>
      <c r="K20" s="130"/>
      <c r="L20" s="130"/>
      <c r="M20" s="130"/>
      <c r="N20" s="130"/>
      <c r="O20" s="130">
        <v>-38244</v>
      </c>
      <c r="P20" s="130"/>
      <c r="Q20" s="130">
        <f>'(D) SUF revenue-SUG-FTES'!P19</f>
        <v>-3405000</v>
      </c>
      <c r="R20" s="130">
        <f>'(E) SUG'!L21</f>
        <v>2832900</v>
      </c>
      <c r="S20" s="112"/>
      <c r="T20" s="186">
        <f t="shared" si="2"/>
        <v>-1177344</v>
      </c>
      <c r="U20" s="112"/>
      <c r="V20" s="152">
        <f t="shared" si="0"/>
        <v>194191936</v>
      </c>
      <c r="X20" s="93"/>
    </row>
    <row r="21" spans="2:24" s="49" customFormat="1" ht="15">
      <c r="B21" s="49" t="s">
        <v>12</v>
      </c>
      <c r="C21" s="112">
        <f>'(A) Gross Budget Summary'!C23</f>
        <v>146607350</v>
      </c>
      <c r="D21" s="112"/>
      <c r="E21" s="112">
        <v>-471000</v>
      </c>
      <c r="F21" s="112"/>
      <c r="G21" s="130"/>
      <c r="H21" s="112"/>
      <c r="I21" s="152">
        <f t="shared" si="1"/>
        <v>146136350</v>
      </c>
      <c r="J21" s="130"/>
      <c r="K21" s="130"/>
      <c r="L21" s="130"/>
      <c r="M21" s="130"/>
      <c r="N21" s="130"/>
      <c r="O21" s="130">
        <v>-42758</v>
      </c>
      <c r="P21" s="130"/>
      <c r="Q21" s="130">
        <f>'(D) SUF revenue-SUG-FTES'!P20</f>
        <v>-1708000</v>
      </c>
      <c r="R21" s="130">
        <f>'(E) SUG'!L22</f>
        <v>1510600</v>
      </c>
      <c r="S21" s="112"/>
      <c r="T21" s="186">
        <f t="shared" si="2"/>
        <v>-711158</v>
      </c>
      <c r="U21" s="112"/>
      <c r="V21" s="152">
        <f t="shared" si="0"/>
        <v>145896192</v>
      </c>
      <c r="X21" s="93"/>
    </row>
    <row r="22" spans="2:24" s="49" customFormat="1" ht="15">
      <c r="B22" s="49" t="s">
        <v>13</v>
      </c>
      <c r="C22" s="112">
        <f>'(A) Gross Budget Summary'!C24</f>
        <v>165543608</v>
      </c>
      <c r="D22" s="112"/>
      <c r="E22" s="112">
        <v>-514000</v>
      </c>
      <c r="F22" s="112"/>
      <c r="G22" s="130"/>
      <c r="H22" s="112"/>
      <c r="I22" s="152">
        <f t="shared" si="1"/>
        <v>165029608</v>
      </c>
      <c r="J22" s="130"/>
      <c r="K22" s="130"/>
      <c r="L22" s="130"/>
      <c r="M22" s="130"/>
      <c r="N22" s="130"/>
      <c r="O22" s="130">
        <v>-60611</v>
      </c>
      <c r="P22" s="130"/>
      <c r="Q22" s="130">
        <f>'(D) SUF revenue-SUG-FTES'!P21</f>
        <v>-2562000</v>
      </c>
      <c r="R22" s="130">
        <f>'(E) SUG'!L23</f>
        <v>3215500</v>
      </c>
      <c r="S22" s="112"/>
      <c r="T22" s="186">
        <f t="shared" si="2"/>
        <v>78889</v>
      </c>
      <c r="U22" s="112"/>
      <c r="V22" s="152">
        <f t="shared" si="0"/>
        <v>165622497</v>
      </c>
      <c r="X22" s="93"/>
    </row>
    <row r="23" spans="2:24" s="49" customFormat="1" ht="15">
      <c r="B23" s="49" t="s">
        <v>14</v>
      </c>
      <c r="C23" s="112">
        <f>'(A) Gross Budget Summary'!C25</f>
        <v>107400260</v>
      </c>
      <c r="D23" s="112"/>
      <c r="E23" s="112">
        <v>-298000</v>
      </c>
      <c r="F23" s="112"/>
      <c r="G23" s="130"/>
      <c r="H23" s="112"/>
      <c r="I23" s="152">
        <f t="shared" si="1"/>
        <v>107102260</v>
      </c>
      <c r="J23" s="130"/>
      <c r="K23" s="130"/>
      <c r="L23" s="130"/>
      <c r="M23" s="130"/>
      <c r="N23" s="130"/>
      <c r="O23" s="130">
        <v>-33172</v>
      </c>
      <c r="P23" s="130"/>
      <c r="Q23" s="130">
        <f>'(D) SUF revenue-SUG-FTES'!P22</f>
        <v>-1355000</v>
      </c>
      <c r="R23" s="130">
        <f>'(E) SUG'!L24</f>
        <v>737000</v>
      </c>
      <c r="S23" s="112"/>
      <c r="T23" s="186">
        <f t="shared" si="2"/>
        <v>-949172</v>
      </c>
      <c r="U23" s="112"/>
      <c r="V23" s="152">
        <f t="shared" si="0"/>
        <v>106451088</v>
      </c>
      <c r="X23" s="93"/>
    </row>
    <row r="24" spans="2:24" s="49" customFormat="1" ht="15">
      <c r="B24" s="49" t="s">
        <v>15</v>
      </c>
      <c r="C24" s="112">
        <f>'(A) Gross Budget Summary'!C26</f>
        <v>221339350</v>
      </c>
      <c r="D24" s="112"/>
      <c r="E24" s="112">
        <v>-712000</v>
      </c>
      <c r="F24" s="112"/>
      <c r="G24" s="130">
        <v>20000</v>
      </c>
      <c r="H24" s="112"/>
      <c r="I24" s="152">
        <f t="shared" si="1"/>
        <v>220647350</v>
      </c>
      <c r="J24" s="130"/>
      <c r="K24" s="130"/>
      <c r="L24" s="130"/>
      <c r="M24" s="130"/>
      <c r="N24" s="130"/>
      <c r="O24" s="130">
        <v>-106404</v>
      </c>
      <c r="P24" s="130"/>
      <c r="Q24" s="130">
        <f>'(D) SUF revenue-SUG-FTES'!P23</f>
        <v>-2921000</v>
      </c>
      <c r="R24" s="130">
        <f>'(E) SUG'!L25</f>
        <v>3647800</v>
      </c>
      <c r="S24" s="112"/>
      <c r="T24" s="186">
        <f t="shared" si="2"/>
        <v>-71604</v>
      </c>
      <c r="U24" s="112"/>
      <c r="V24" s="152">
        <f t="shared" si="0"/>
        <v>221267746</v>
      </c>
      <c r="X24" s="93"/>
    </row>
    <row r="25" spans="2:24" s="49" customFormat="1" ht="15">
      <c r="B25" s="49" t="s">
        <v>16</v>
      </c>
      <c r="C25" s="112">
        <f>'(A) Gross Budget Summary'!C27</f>
        <v>171416331</v>
      </c>
      <c r="D25" s="112"/>
      <c r="E25" s="112">
        <v>-618000</v>
      </c>
      <c r="F25" s="112"/>
      <c r="G25" s="130"/>
      <c r="H25" s="112"/>
      <c r="I25" s="152">
        <f t="shared" si="1"/>
        <v>170798331</v>
      </c>
      <c r="J25" s="130"/>
      <c r="K25" s="130"/>
      <c r="L25" s="130"/>
      <c r="M25" s="130"/>
      <c r="N25" s="130"/>
      <c r="O25" s="130">
        <v>-30382</v>
      </c>
      <c r="P25" s="130"/>
      <c r="Q25" s="130">
        <f>'(D) SUF revenue-SUG-FTES'!P24</f>
        <v>-2461000</v>
      </c>
      <c r="R25" s="130">
        <f>'(E) SUG'!L26</f>
        <v>2454500</v>
      </c>
      <c r="S25" s="112"/>
      <c r="T25" s="186">
        <f t="shared" si="2"/>
        <v>-654882</v>
      </c>
      <c r="U25" s="112"/>
      <c r="V25" s="152">
        <f t="shared" si="0"/>
        <v>170761449</v>
      </c>
      <c r="X25" s="93"/>
    </row>
    <row r="26" spans="2:24" s="49" customFormat="1" ht="15">
      <c r="B26" s="49" t="s">
        <v>17</v>
      </c>
      <c r="C26" s="112">
        <f>'(A) Gross Budget Summary'!C28</f>
        <v>169960150</v>
      </c>
      <c r="D26" s="112"/>
      <c r="E26" s="112">
        <v>-566000</v>
      </c>
      <c r="F26" s="112"/>
      <c r="G26" s="130"/>
      <c r="H26" s="112"/>
      <c r="I26" s="152">
        <f t="shared" si="1"/>
        <v>169394150</v>
      </c>
      <c r="J26" s="130"/>
      <c r="K26" s="130"/>
      <c r="L26" s="130"/>
      <c r="M26" s="130"/>
      <c r="N26" s="130"/>
      <c r="O26" s="130">
        <v>-72328</v>
      </c>
      <c r="P26" s="130"/>
      <c r="Q26" s="130">
        <f>'(D) SUF revenue-SUG-FTES'!P25</f>
        <v>-2924000</v>
      </c>
      <c r="R26" s="130">
        <f>'(E) SUG'!L27</f>
        <v>880000</v>
      </c>
      <c r="S26" s="112"/>
      <c r="T26" s="186">
        <f t="shared" si="2"/>
        <v>-2682328</v>
      </c>
      <c r="U26" s="112"/>
      <c r="V26" s="152">
        <f t="shared" si="0"/>
        <v>167277822</v>
      </c>
      <c r="X26" s="93"/>
    </row>
    <row r="27" spans="2:24" s="49" customFormat="1" ht="15">
      <c r="B27" s="49" t="s">
        <v>18</v>
      </c>
      <c r="C27" s="112">
        <f>'(A) Gross Budget Summary'!C29</f>
        <v>150281650</v>
      </c>
      <c r="D27" s="112"/>
      <c r="E27" s="112">
        <v>-474000</v>
      </c>
      <c r="F27" s="112"/>
      <c r="G27" s="130"/>
      <c r="H27" s="112"/>
      <c r="I27" s="152">
        <f t="shared" si="1"/>
        <v>149807650</v>
      </c>
      <c r="J27" s="130"/>
      <c r="K27" s="130"/>
      <c r="L27" s="130"/>
      <c r="M27" s="130"/>
      <c r="N27" s="130"/>
      <c r="O27" s="130">
        <v>-71922</v>
      </c>
      <c r="P27" s="130"/>
      <c r="Q27" s="130">
        <f>'(D) SUF revenue-SUG-FTES'!P26</f>
        <v>-1832000</v>
      </c>
      <c r="R27" s="130">
        <f>'(E) SUG'!L28</f>
        <v>892700</v>
      </c>
      <c r="S27" s="112"/>
      <c r="T27" s="186">
        <f t="shared" si="2"/>
        <v>-1485222</v>
      </c>
      <c r="U27" s="112"/>
      <c r="V27" s="152">
        <f t="shared" si="0"/>
        <v>148796428</v>
      </c>
      <c r="X27" s="93"/>
    </row>
    <row r="28" spans="2:24" s="49" customFormat="1" ht="15">
      <c r="B28" s="49" t="s">
        <v>19</v>
      </c>
      <c r="C28" s="112">
        <f>'(A) Gross Budget Summary'!C30</f>
        <v>66746080</v>
      </c>
      <c r="D28" s="112"/>
      <c r="E28" s="112">
        <v>-185000</v>
      </c>
      <c r="F28" s="112"/>
      <c r="G28" s="130"/>
      <c r="H28" s="112"/>
      <c r="I28" s="152">
        <f t="shared" si="1"/>
        <v>66561080</v>
      </c>
      <c r="J28" s="130"/>
      <c r="K28" s="130"/>
      <c r="L28" s="130"/>
      <c r="M28" s="130"/>
      <c r="N28" s="130"/>
      <c r="O28" s="130">
        <v>-19858</v>
      </c>
      <c r="P28" s="130"/>
      <c r="Q28" s="130">
        <f>'(D) SUF revenue-SUG-FTES'!P27</f>
        <v>-630000</v>
      </c>
      <c r="R28" s="130">
        <f>'(E) SUG'!L29</f>
        <v>1274600</v>
      </c>
      <c r="S28" s="112"/>
      <c r="T28" s="186">
        <f t="shared" si="2"/>
        <v>439742</v>
      </c>
      <c r="U28" s="112"/>
      <c r="V28" s="152">
        <f t="shared" si="0"/>
        <v>67185822</v>
      </c>
      <c r="X28" s="93"/>
    </row>
    <row r="29" spans="2:24" s="49" customFormat="1" ht="15">
      <c r="B29" s="49" t="s">
        <v>20</v>
      </c>
      <c r="C29" s="112">
        <f>'(A) Gross Budget Summary'!C31</f>
        <v>64157344</v>
      </c>
      <c r="D29" s="112"/>
      <c r="E29" s="112">
        <v>-194000</v>
      </c>
      <c r="F29" s="112"/>
      <c r="G29" s="130"/>
      <c r="H29" s="112"/>
      <c r="I29" s="152">
        <f t="shared" si="1"/>
        <v>63963344</v>
      </c>
      <c r="J29" s="130"/>
      <c r="K29" s="130"/>
      <c r="L29" s="130"/>
      <c r="M29" s="130"/>
      <c r="N29" s="130"/>
      <c r="O29" s="130">
        <v>-15471</v>
      </c>
      <c r="P29" s="130"/>
      <c r="Q29" s="130">
        <f>'(D) SUF revenue-SUG-FTES'!P28</f>
        <v>-705000</v>
      </c>
      <c r="R29" s="130">
        <f>'(E) SUG'!L30</f>
        <v>682400</v>
      </c>
      <c r="S29" s="112"/>
      <c r="T29" s="186">
        <f t="shared" si="2"/>
        <v>-232071</v>
      </c>
      <c r="U29" s="112"/>
      <c r="V29" s="152">
        <f t="shared" si="0"/>
        <v>63925273</v>
      </c>
      <c r="X29" s="93"/>
    </row>
    <row r="30" spans="2:24" s="49" customFormat="1" ht="15">
      <c r="B30" s="49" t="s">
        <v>21</v>
      </c>
      <c r="C30" s="112">
        <f>'(A) Gross Budget Summary'!C32</f>
        <v>63110030</v>
      </c>
      <c r="D30" s="112"/>
      <c r="E30" s="112">
        <v>-180000</v>
      </c>
      <c r="F30" s="112"/>
      <c r="G30" s="130"/>
      <c r="H30" s="112"/>
      <c r="I30" s="152">
        <f t="shared" si="1"/>
        <v>62930030</v>
      </c>
      <c r="J30" s="130"/>
      <c r="K30" s="130"/>
      <c r="L30" s="130"/>
      <c r="M30" s="130"/>
      <c r="N30" s="130"/>
      <c r="O30" s="130">
        <v>-13873</v>
      </c>
      <c r="P30" s="130"/>
      <c r="Q30" s="130">
        <f>'(D) SUF revenue-SUG-FTES'!P29</f>
        <v>-722000</v>
      </c>
      <c r="R30" s="130">
        <f>'(E) SUG'!L31</f>
        <v>1109700</v>
      </c>
      <c r="S30" s="112"/>
      <c r="T30" s="186">
        <f t="shared" si="2"/>
        <v>193827</v>
      </c>
      <c r="U30" s="112"/>
      <c r="V30" s="152">
        <f t="shared" si="0"/>
        <v>63303857</v>
      </c>
      <c r="X30" s="93"/>
    </row>
    <row r="31" spans="3:24" s="49" customFormat="1" ht="9" customHeight="1">
      <c r="C31" s="112"/>
      <c r="D31" s="112"/>
      <c r="E31" s="112"/>
      <c r="F31" s="112"/>
      <c r="G31" s="130"/>
      <c r="H31" s="112"/>
      <c r="I31" s="152"/>
      <c r="J31" s="130"/>
      <c r="K31" s="130"/>
      <c r="L31" s="130"/>
      <c r="M31" s="130"/>
      <c r="N31" s="130"/>
      <c r="O31" s="130"/>
      <c r="P31" s="130"/>
      <c r="Q31" s="130"/>
      <c r="R31" s="130"/>
      <c r="S31" s="112"/>
      <c r="T31" s="186"/>
      <c r="U31" s="112"/>
      <c r="V31" s="152"/>
      <c r="X31" s="93"/>
    </row>
    <row r="32" spans="2:22" s="150" customFormat="1" ht="18" customHeight="1">
      <c r="B32" s="91" t="s">
        <v>22</v>
      </c>
      <c r="C32" s="127">
        <f>SUM(C8:C31)</f>
        <v>2729313281</v>
      </c>
      <c r="D32" s="127"/>
      <c r="E32" s="127">
        <f>SUM(E8:E31)</f>
        <v>-8401000</v>
      </c>
      <c r="F32" s="127"/>
      <c r="G32" s="127">
        <f>SUM(G8:G31)</f>
        <v>20000</v>
      </c>
      <c r="H32" s="127"/>
      <c r="I32" s="153">
        <f>SUM(I8:I31)</f>
        <v>2720932281</v>
      </c>
      <c r="J32" s="127"/>
      <c r="K32" s="127">
        <f>SUM(K8:K31)</f>
        <v>0</v>
      </c>
      <c r="L32" s="127"/>
      <c r="M32" s="127">
        <f>SUM(M8:M31)</f>
        <v>0</v>
      </c>
      <c r="N32" s="127"/>
      <c r="O32" s="127">
        <f>SUM(O8:O31)</f>
        <v>-865830</v>
      </c>
      <c r="P32" s="127"/>
      <c r="Q32" s="127">
        <f>SUM(Q8:Q31)</f>
        <v>-37137000</v>
      </c>
      <c r="R32" s="127">
        <f>SUM(R8:R31)</f>
        <v>37174000</v>
      </c>
      <c r="S32" s="127"/>
      <c r="T32" s="187">
        <f>SUM(T8:T31)</f>
        <v>-9209830</v>
      </c>
      <c r="U32" s="149"/>
      <c r="V32" s="153">
        <f>SUM(V8:V31)</f>
        <v>2720103451</v>
      </c>
    </row>
    <row r="33" spans="3:24" s="49" customFormat="1" ht="9" customHeight="1">
      <c r="C33" s="112"/>
      <c r="D33" s="112"/>
      <c r="E33" s="112"/>
      <c r="F33" s="112"/>
      <c r="G33" s="130"/>
      <c r="H33" s="112"/>
      <c r="I33" s="152"/>
      <c r="J33" s="130"/>
      <c r="K33" s="130"/>
      <c r="L33" s="130"/>
      <c r="M33" s="130"/>
      <c r="N33" s="130"/>
      <c r="O33" s="130"/>
      <c r="P33" s="130"/>
      <c r="Q33" s="130"/>
      <c r="R33" s="130"/>
      <c r="S33" s="112"/>
      <c r="T33" s="186"/>
      <c r="U33" s="112"/>
      <c r="V33" s="152"/>
      <c r="X33" s="93"/>
    </row>
    <row r="34" spans="2:24" s="49" customFormat="1" ht="15">
      <c r="B34" s="49" t="s">
        <v>23</v>
      </c>
      <c r="C34" s="112">
        <f>'(A) Gross Budget Summary'!C36</f>
        <v>74488182</v>
      </c>
      <c r="D34" s="112"/>
      <c r="E34" s="112">
        <v>-177000</v>
      </c>
      <c r="F34" s="112"/>
      <c r="G34" s="130">
        <f>62326-102784</f>
        <v>-40458</v>
      </c>
      <c r="H34" s="134"/>
      <c r="I34" s="152">
        <f>C34+E34+G34</f>
        <v>74270724</v>
      </c>
      <c r="J34" s="130"/>
      <c r="K34" s="130"/>
      <c r="L34" s="129"/>
      <c r="M34" s="130"/>
      <c r="N34" s="129"/>
      <c r="O34" s="130">
        <f>-6670+872500</f>
        <v>865830</v>
      </c>
      <c r="P34" s="129"/>
      <c r="Q34" s="130">
        <f>'(D) SUF revenue-SUG-FTES'!P33</f>
        <v>0</v>
      </c>
      <c r="R34" s="130">
        <v>0</v>
      </c>
      <c r="S34" s="112"/>
      <c r="T34" s="186">
        <f>E34+G34+K34+M34+Q34+R34+O34</f>
        <v>648372</v>
      </c>
      <c r="U34" s="112"/>
      <c r="V34" s="152">
        <f>C34+T34</f>
        <v>75136554</v>
      </c>
      <c r="X34" s="93"/>
    </row>
    <row r="35" spans="2:24" s="49" customFormat="1" ht="15">
      <c r="B35" s="49" t="s">
        <v>47</v>
      </c>
      <c r="C35" s="112">
        <f>'(A) Gross Budget Summary'!C37</f>
        <v>1412992</v>
      </c>
      <c r="D35" s="112"/>
      <c r="E35" s="112"/>
      <c r="F35" s="112"/>
      <c r="G35" s="130">
        <v>31743</v>
      </c>
      <c r="H35" s="134"/>
      <c r="I35" s="152">
        <f>C35+E35+G35</f>
        <v>1444735</v>
      </c>
      <c r="J35" s="130"/>
      <c r="K35" s="130"/>
      <c r="L35" s="129"/>
      <c r="M35" s="130">
        <v>59000</v>
      </c>
      <c r="N35" s="129"/>
      <c r="O35" s="130">
        <v>0</v>
      </c>
      <c r="P35" s="129"/>
      <c r="Q35" s="130">
        <f>'(D) SUF revenue-SUG-FTES'!P34</f>
        <v>28000</v>
      </c>
      <c r="R35" s="130">
        <v>0</v>
      </c>
      <c r="S35" s="112"/>
      <c r="T35" s="186">
        <f>E35+G35+K35+M35+Q35+R35+O35</f>
        <v>118743</v>
      </c>
      <c r="U35" s="112"/>
      <c r="V35" s="152">
        <f>C35+T35</f>
        <v>1531735</v>
      </c>
      <c r="X35" s="93"/>
    </row>
    <row r="36" spans="2:24" s="49" customFormat="1" ht="15">
      <c r="B36" s="49" t="s">
        <v>24</v>
      </c>
      <c r="C36" s="112">
        <f>'(A) Gross Budget Summary'!C38</f>
        <v>2641455</v>
      </c>
      <c r="D36" s="112"/>
      <c r="E36" s="112"/>
      <c r="F36" s="112"/>
      <c r="G36" s="130">
        <v>71041</v>
      </c>
      <c r="H36" s="134"/>
      <c r="I36" s="152">
        <f>C36+E36+G36</f>
        <v>2712496</v>
      </c>
      <c r="J36" s="130"/>
      <c r="K36" s="130"/>
      <c r="L36" s="129"/>
      <c r="M36" s="130"/>
      <c r="N36" s="129"/>
      <c r="O36" s="130">
        <v>0</v>
      </c>
      <c r="P36" s="129"/>
      <c r="Q36" s="130">
        <f>'(D) SUF revenue-SUG-FTES'!P35</f>
        <v>-52000</v>
      </c>
      <c r="R36" s="130">
        <v>0</v>
      </c>
      <c r="S36" s="112"/>
      <c r="T36" s="186">
        <f>E36+G36+K36+M36+Q36+R36+O36</f>
        <v>19041</v>
      </c>
      <c r="U36" s="112"/>
      <c r="V36" s="152">
        <f>C36+T36</f>
        <v>2660496</v>
      </c>
      <c r="X36" s="93"/>
    </row>
    <row r="37" spans="2:24" s="49" customFormat="1" ht="15">
      <c r="B37" s="49" t="s">
        <v>25</v>
      </c>
      <c r="C37" s="112">
        <f>'(A) Gross Budget Summary'!C39</f>
        <v>193800</v>
      </c>
      <c r="D37" s="112"/>
      <c r="E37" s="112"/>
      <c r="F37" s="112"/>
      <c r="G37" s="130"/>
      <c r="H37" s="134"/>
      <c r="I37" s="152">
        <f>C37+E37+G37</f>
        <v>193800</v>
      </c>
      <c r="J37" s="130"/>
      <c r="K37" s="130"/>
      <c r="L37" s="129"/>
      <c r="M37" s="130">
        <v>-74000</v>
      </c>
      <c r="N37" s="129"/>
      <c r="O37" s="130">
        <v>0</v>
      </c>
      <c r="P37" s="129"/>
      <c r="Q37" s="130">
        <f>'(D) SUF revenue-SUG-FTES'!P36</f>
        <v>-13000</v>
      </c>
      <c r="R37" s="130">
        <v>0</v>
      </c>
      <c r="S37" s="112"/>
      <c r="T37" s="186">
        <f>E37+G37+K37+M37+Q37+R37+O37</f>
        <v>-87000</v>
      </c>
      <c r="U37" s="112"/>
      <c r="V37" s="152">
        <f>C37+T37</f>
        <v>106800</v>
      </c>
      <c r="X37" s="93"/>
    </row>
    <row r="38" spans="2:24" s="49" customFormat="1" ht="18">
      <c r="B38" s="49" t="s">
        <v>26</v>
      </c>
      <c r="C38" s="112">
        <f>'(A) Gross Budget Summary'!C40</f>
        <v>177824290</v>
      </c>
      <c r="D38" s="112"/>
      <c r="E38" s="112"/>
      <c r="F38" s="112"/>
      <c r="G38" s="130">
        <f>-(1000+5000+6584000+20000)+1000+1700000-62326</f>
        <v>-4971326</v>
      </c>
      <c r="H38" s="134"/>
      <c r="I38" s="152">
        <f>C38+E38+G38</f>
        <v>172852964</v>
      </c>
      <c r="J38" s="130"/>
      <c r="K38" s="130">
        <f>-3071000</f>
        <v>-3071000</v>
      </c>
      <c r="L38" s="72">
        <v>2</v>
      </c>
      <c r="M38" s="249">
        <f>927000+425000+15000+18000</f>
        <v>1385000</v>
      </c>
      <c r="N38" s="252">
        <v>5</v>
      </c>
      <c r="O38" s="130">
        <v>0</v>
      </c>
      <c r="P38" s="160"/>
      <c r="Q38" s="130">
        <f>'(D) SUF revenue-SUG-FTES'!P37</f>
        <v>0</v>
      </c>
      <c r="R38" s="130">
        <v>0</v>
      </c>
      <c r="S38" s="112"/>
      <c r="T38" s="186">
        <f>E38+G38+K38+M38+Q38+R38+O38</f>
        <v>-6657326</v>
      </c>
      <c r="U38" s="112"/>
      <c r="V38" s="152">
        <f>C38+T38</f>
        <v>171166964</v>
      </c>
      <c r="X38" s="93"/>
    </row>
    <row r="39" spans="3:24" s="49" customFormat="1" ht="9" customHeight="1">
      <c r="C39" s="112"/>
      <c r="D39" s="112"/>
      <c r="E39" s="112"/>
      <c r="F39" s="112"/>
      <c r="G39" s="130"/>
      <c r="H39" s="130"/>
      <c r="I39" s="152"/>
      <c r="J39" s="130"/>
      <c r="K39" s="130"/>
      <c r="L39" s="130"/>
      <c r="M39" s="130"/>
      <c r="N39" s="130"/>
      <c r="O39" s="130"/>
      <c r="P39" s="130"/>
      <c r="Q39" s="130"/>
      <c r="R39" s="130"/>
      <c r="S39" s="112"/>
      <c r="T39" s="186"/>
      <c r="U39" s="112"/>
      <c r="V39" s="152"/>
      <c r="X39" s="93"/>
    </row>
    <row r="40" spans="2:22" s="150" customFormat="1" ht="18" customHeight="1" thickBot="1">
      <c r="B40" s="92" t="s">
        <v>27</v>
      </c>
      <c r="C40" s="140">
        <f>SUM(C32:C38)</f>
        <v>2985874000</v>
      </c>
      <c r="D40" s="140"/>
      <c r="E40" s="140">
        <f>SUM(E32:E38)</f>
        <v>-8578000</v>
      </c>
      <c r="F40" s="140"/>
      <c r="G40" s="140">
        <f>SUM(G32:G38)</f>
        <v>-4889000</v>
      </c>
      <c r="H40" s="140"/>
      <c r="I40" s="154">
        <f>SUM(I32:I38)</f>
        <v>2972407000</v>
      </c>
      <c r="J40" s="140"/>
      <c r="K40" s="140">
        <f>SUM(K32:K38)</f>
        <v>-3071000</v>
      </c>
      <c r="L40" s="140"/>
      <c r="M40" s="140">
        <f>SUM(M32:M38)</f>
        <v>1370000</v>
      </c>
      <c r="N40" s="140"/>
      <c r="O40" s="140">
        <f>SUM(O32:O38)</f>
        <v>0</v>
      </c>
      <c r="P40" s="140"/>
      <c r="Q40" s="140">
        <f>SUM(Q32:Q38)</f>
        <v>-37174000</v>
      </c>
      <c r="R40" s="140">
        <f>SUM(R32:R38)</f>
        <v>37174000</v>
      </c>
      <c r="S40" s="140"/>
      <c r="T40" s="188">
        <f>SUM(T32:T38)</f>
        <v>-15168000</v>
      </c>
      <c r="U40" s="140"/>
      <c r="V40" s="154">
        <f>SUM(V32:V38)</f>
        <v>2970706000</v>
      </c>
    </row>
    <row r="41" spans="9:10" ht="12.75">
      <c r="I41" s="54"/>
      <c r="J41" s="54"/>
    </row>
    <row r="42" spans="1:22" ht="30" customHeight="1">
      <c r="A42" s="31">
        <v>1</v>
      </c>
      <c r="B42" s="260" t="s">
        <v>97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</row>
    <row r="43" spans="1:24" ht="15.75">
      <c r="A43" s="31">
        <v>2</v>
      </c>
      <c r="B43" s="258" t="s">
        <v>79</v>
      </c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X43" s="162"/>
    </row>
    <row r="44" spans="1:24" ht="30" customHeight="1">
      <c r="A44" s="31">
        <v>3</v>
      </c>
      <c r="B44" s="260" t="s">
        <v>168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X44" s="162"/>
    </row>
    <row r="45" spans="1:22" ht="30" customHeight="1">
      <c r="A45" s="31">
        <v>4</v>
      </c>
      <c r="B45" s="260" t="s">
        <v>93</v>
      </c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</row>
    <row r="46" spans="1:2" ht="15.75">
      <c r="A46" s="250">
        <v>5</v>
      </c>
      <c r="B46" s="251" t="s">
        <v>174</v>
      </c>
    </row>
  </sheetData>
  <sheetProtection/>
  <mergeCells count="4">
    <mergeCell ref="B43:V43"/>
    <mergeCell ref="B42:V42"/>
    <mergeCell ref="B44:V44"/>
    <mergeCell ref="B45:V45"/>
  </mergeCells>
  <printOptions/>
  <pageMargins left="0.75" right="0.5" top="0.5" bottom="0.25" header="0.5" footer="0.5"/>
  <pageSetup fitToHeight="1" fitToWidth="1" horizontalDpi="600" verticalDpi="600" orientation="landscape" paperSize="5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">
      <selection activeCell="A44" sqref="A44"/>
    </sheetView>
  </sheetViews>
  <sheetFormatPr defaultColWidth="9.33203125" defaultRowHeight="12.75"/>
  <cols>
    <col min="1" max="1" width="25.83203125" style="40" customWidth="1"/>
    <col min="2" max="2" width="15.16015625" style="2" bestFit="1" customWidth="1"/>
    <col min="3" max="3" width="14" style="2" bestFit="1" customWidth="1"/>
    <col min="4" max="4" width="14" style="2" customWidth="1"/>
    <col min="5" max="5" width="14" style="2" bestFit="1" customWidth="1"/>
    <col min="6" max="6" width="14" style="2" customWidth="1"/>
    <col min="7" max="7" width="16.16015625" style="49" bestFit="1" customWidth="1"/>
    <col min="8" max="8" width="16.66015625" style="2" customWidth="1"/>
    <col min="9" max="9" width="3.66015625" style="2" customWidth="1"/>
    <col min="10" max="10" width="14.83203125" style="2" bestFit="1" customWidth="1"/>
    <col min="11" max="16384" width="9.33203125" style="2" customWidth="1"/>
  </cols>
  <sheetData>
    <row r="1" ht="16.5">
      <c r="A1" s="156" t="s">
        <v>167</v>
      </c>
    </row>
    <row r="2" ht="15.75" customHeight="1">
      <c r="A2" s="84"/>
    </row>
    <row r="3" spans="1:10" s="165" customFormat="1" ht="18" customHeight="1">
      <c r="A3" s="86"/>
      <c r="B3" s="176">
        <v>-1</v>
      </c>
      <c r="C3" s="176">
        <v>-2</v>
      </c>
      <c r="D3" s="176">
        <v>-3</v>
      </c>
      <c r="E3" s="176">
        <v>-4</v>
      </c>
      <c r="F3" s="176"/>
      <c r="G3" s="176">
        <v>-5</v>
      </c>
      <c r="H3" s="176">
        <v>-6</v>
      </c>
      <c r="I3" s="176"/>
      <c r="J3" s="176">
        <v>-7</v>
      </c>
    </row>
    <row r="4" spans="1:14" s="65" customFormat="1" ht="18.75" customHeight="1" thickBot="1">
      <c r="A4" s="85"/>
      <c r="B4" s="262" t="s">
        <v>83</v>
      </c>
      <c r="C4" s="262"/>
      <c r="D4" s="262"/>
      <c r="E4" s="262"/>
      <c r="F4" s="177"/>
      <c r="G4" s="262" t="s">
        <v>85</v>
      </c>
      <c r="H4" s="262"/>
      <c r="I4" s="262"/>
      <c r="J4" s="262"/>
      <c r="K4" s="81"/>
      <c r="L4" s="81"/>
      <c r="M4" s="81"/>
      <c r="N4" s="81"/>
    </row>
    <row r="5" spans="1:10" s="66" customFormat="1" ht="54.75" thickTop="1">
      <c r="A5" s="178"/>
      <c r="B5" s="67" t="s">
        <v>44</v>
      </c>
      <c r="C5" s="67" t="s">
        <v>45</v>
      </c>
      <c r="D5" s="35" t="s">
        <v>87</v>
      </c>
      <c r="E5" s="67" t="s">
        <v>46</v>
      </c>
      <c r="F5" s="67"/>
      <c r="G5" s="175" t="s">
        <v>84</v>
      </c>
      <c r="H5" s="175" t="s">
        <v>82</v>
      </c>
      <c r="I5" s="175"/>
      <c r="J5" s="175" t="s">
        <v>95</v>
      </c>
    </row>
    <row r="6" spans="1:10" s="68" customFormat="1" ht="15.75" customHeight="1">
      <c r="A6" s="87"/>
      <c r="B6" s="78"/>
      <c r="C6" s="78"/>
      <c r="D6" s="71"/>
      <c r="E6" s="78"/>
      <c r="F6" s="78"/>
      <c r="G6" s="79" t="s">
        <v>86</v>
      </c>
      <c r="H6" s="82" t="s">
        <v>165</v>
      </c>
      <c r="I6" s="82"/>
      <c r="J6" s="79" t="s">
        <v>166</v>
      </c>
    </row>
    <row r="7" spans="1:10" s="9" customFormat="1" ht="9" customHeight="1">
      <c r="A7" s="40"/>
      <c r="B7" s="53"/>
      <c r="C7" s="53"/>
      <c r="D7" s="80"/>
      <c r="E7" s="53"/>
      <c r="F7" s="53"/>
      <c r="G7" s="170"/>
      <c r="H7" s="163"/>
      <c r="I7" s="163"/>
      <c r="J7" s="164"/>
    </row>
    <row r="8" spans="1:10" s="10" customFormat="1" ht="15">
      <c r="A8" s="134" t="s">
        <v>0</v>
      </c>
      <c r="B8" s="129">
        <v>482000</v>
      </c>
      <c r="C8" s="129">
        <v>82000</v>
      </c>
      <c r="D8" s="129">
        <v>19700</v>
      </c>
      <c r="E8" s="129">
        <v>81000</v>
      </c>
      <c r="F8" s="129"/>
      <c r="G8" s="171">
        <f aca="true" t="shared" si="0" ref="G8:G30">SUM(B8:E8)</f>
        <v>664700</v>
      </c>
      <c r="H8" s="132">
        <f>'(D) SUF revenue-SUG-FTES'!R7</f>
        <v>1344000</v>
      </c>
      <c r="I8" s="132"/>
      <c r="J8" s="129">
        <f>H8-G8</f>
        <v>679300</v>
      </c>
    </row>
    <row r="9" spans="1:10" ht="15">
      <c r="A9" s="112" t="s">
        <v>1</v>
      </c>
      <c r="B9" s="130">
        <v>278000</v>
      </c>
      <c r="C9" s="133">
        <v>43000</v>
      </c>
      <c r="D9" s="130">
        <v>729900</v>
      </c>
      <c r="E9" s="130">
        <v>54000</v>
      </c>
      <c r="F9" s="130"/>
      <c r="G9" s="172">
        <f t="shared" si="0"/>
        <v>1104900</v>
      </c>
      <c r="H9" s="133">
        <f>'(D) SUF revenue-SUG-FTES'!R8</f>
        <v>326000</v>
      </c>
      <c r="I9" s="133"/>
      <c r="J9" s="173">
        <f>H9-G9</f>
        <v>-778900</v>
      </c>
    </row>
    <row r="10" spans="1:10" ht="15">
      <c r="A10" s="112" t="s">
        <v>2</v>
      </c>
      <c r="B10" s="130">
        <v>1012000</v>
      </c>
      <c r="C10" s="133">
        <v>179000</v>
      </c>
      <c r="D10" s="130">
        <v>114200</v>
      </c>
      <c r="E10" s="130">
        <v>176000</v>
      </c>
      <c r="F10" s="130"/>
      <c r="G10" s="172">
        <f t="shared" si="0"/>
        <v>1481200</v>
      </c>
      <c r="H10" s="133">
        <f>'(D) SUF revenue-SUG-FTES'!R9</f>
        <v>2973000</v>
      </c>
      <c r="I10" s="133"/>
      <c r="J10" s="173">
        <f aca="true" t="shared" si="1" ref="J10:J30">H10-G10</f>
        <v>1491800</v>
      </c>
    </row>
    <row r="11" spans="1:10" ht="15">
      <c r="A11" s="112" t="s">
        <v>3</v>
      </c>
      <c r="B11" s="130">
        <v>562000</v>
      </c>
      <c r="C11" s="133">
        <v>108000</v>
      </c>
      <c r="D11" s="130">
        <v>0</v>
      </c>
      <c r="E11" s="130">
        <v>87000</v>
      </c>
      <c r="F11" s="130"/>
      <c r="G11" s="172">
        <f t="shared" si="0"/>
        <v>757000</v>
      </c>
      <c r="H11" s="133">
        <f>'(D) SUF revenue-SUG-FTES'!R10</f>
        <v>1637000</v>
      </c>
      <c r="I11" s="133"/>
      <c r="J11" s="173">
        <f t="shared" si="1"/>
        <v>880000</v>
      </c>
    </row>
    <row r="12" spans="1:10" ht="15">
      <c r="A12" s="112" t="s">
        <v>31</v>
      </c>
      <c r="B12" s="130">
        <v>727000</v>
      </c>
      <c r="C12" s="133">
        <v>149000</v>
      </c>
      <c r="D12" s="130">
        <v>0</v>
      </c>
      <c r="E12" s="130">
        <v>133000</v>
      </c>
      <c r="F12" s="130"/>
      <c r="G12" s="172">
        <f t="shared" si="0"/>
        <v>1009000</v>
      </c>
      <c r="H12" s="133">
        <f>'(D) SUF revenue-SUG-FTES'!R11</f>
        <v>2418000</v>
      </c>
      <c r="I12" s="133"/>
      <c r="J12" s="173">
        <f t="shared" si="1"/>
        <v>1409000</v>
      </c>
    </row>
    <row r="13" spans="1:10" ht="15">
      <c r="A13" s="112" t="s">
        <v>4</v>
      </c>
      <c r="B13" s="130">
        <v>1145000</v>
      </c>
      <c r="C13" s="133">
        <v>219000</v>
      </c>
      <c r="D13" s="130">
        <v>1372700</v>
      </c>
      <c r="E13" s="130">
        <v>211000</v>
      </c>
      <c r="F13" s="130"/>
      <c r="G13" s="172">
        <f t="shared" si="0"/>
        <v>2947700</v>
      </c>
      <c r="H13" s="133">
        <f>'(D) SUF revenue-SUG-FTES'!R12</f>
        <v>4517000</v>
      </c>
      <c r="I13" s="133"/>
      <c r="J13" s="173">
        <f t="shared" si="1"/>
        <v>1569300</v>
      </c>
    </row>
    <row r="14" spans="1:10" ht="15">
      <c r="A14" s="112" t="s">
        <v>5</v>
      </c>
      <c r="B14" s="130">
        <v>1509000</v>
      </c>
      <c r="C14" s="133">
        <v>293000</v>
      </c>
      <c r="D14" s="130">
        <v>1785700</v>
      </c>
      <c r="E14" s="130">
        <v>268000</v>
      </c>
      <c r="F14" s="130"/>
      <c r="G14" s="172">
        <f t="shared" si="0"/>
        <v>3855700</v>
      </c>
      <c r="H14" s="133">
        <f>'(D) SUF revenue-SUG-FTES'!R13</f>
        <v>6389000</v>
      </c>
      <c r="I14" s="133"/>
      <c r="J14" s="173">
        <f t="shared" si="1"/>
        <v>2533300</v>
      </c>
    </row>
    <row r="15" spans="1:10" ht="15">
      <c r="A15" s="112" t="s">
        <v>6</v>
      </c>
      <c r="B15" s="130">
        <v>607000</v>
      </c>
      <c r="C15" s="133">
        <v>102000</v>
      </c>
      <c r="D15" s="130">
        <v>0</v>
      </c>
      <c r="E15" s="130">
        <v>128000</v>
      </c>
      <c r="F15" s="130"/>
      <c r="G15" s="172">
        <f t="shared" si="0"/>
        <v>837000</v>
      </c>
      <c r="H15" s="133">
        <f>'(D) SUF revenue-SUG-FTES'!R14</f>
        <v>1299000</v>
      </c>
      <c r="I15" s="133"/>
      <c r="J15" s="173">
        <f t="shared" si="1"/>
        <v>462000</v>
      </c>
    </row>
    <row r="16" spans="1:10" ht="15">
      <c r="A16" s="112" t="s">
        <v>7</v>
      </c>
      <c r="B16" s="130">
        <v>1598000</v>
      </c>
      <c r="C16" s="133">
        <v>329000</v>
      </c>
      <c r="D16" s="130">
        <v>51000</v>
      </c>
      <c r="E16" s="130">
        <v>335000</v>
      </c>
      <c r="F16" s="130"/>
      <c r="G16" s="172">
        <f t="shared" si="0"/>
        <v>2313000</v>
      </c>
      <c r="H16" s="133">
        <f>'(D) SUF revenue-SUG-FTES'!R15</f>
        <v>6394000</v>
      </c>
      <c r="I16" s="133"/>
      <c r="J16" s="173">
        <f t="shared" si="1"/>
        <v>4081000</v>
      </c>
    </row>
    <row r="17" spans="1:10" ht="15">
      <c r="A17" s="112" t="s">
        <v>8</v>
      </c>
      <c r="B17" s="130">
        <v>922000</v>
      </c>
      <c r="C17" s="133">
        <v>181000</v>
      </c>
      <c r="D17" s="130">
        <v>0</v>
      </c>
      <c r="E17" s="130">
        <v>218000</v>
      </c>
      <c r="F17" s="130"/>
      <c r="G17" s="172">
        <f t="shared" si="0"/>
        <v>1321000</v>
      </c>
      <c r="H17" s="133">
        <f>'(D) SUF revenue-SUG-FTES'!R16</f>
        <v>3390000</v>
      </c>
      <c r="I17" s="133"/>
      <c r="J17" s="173">
        <f t="shared" si="1"/>
        <v>2069000</v>
      </c>
    </row>
    <row r="18" spans="1:10" ht="15">
      <c r="A18" s="112" t="s">
        <v>9</v>
      </c>
      <c r="B18" s="130">
        <v>112000</v>
      </c>
      <c r="C18" s="133">
        <v>16000</v>
      </c>
      <c r="D18" s="130">
        <v>0</v>
      </c>
      <c r="E18" s="130">
        <v>40000</v>
      </c>
      <c r="F18" s="130"/>
      <c r="G18" s="172">
        <f t="shared" si="0"/>
        <v>168000</v>
      </c>
      <c r="H18" s="133">
        <f>'(D) SUF revenue-SUG-FTES'!R17</f>
        <v>57000</v>
      </c>
      <c r="I18" s="133"/>
      <c r="J18" s="173">
        <f t="shared" si="1"/>
        <v>-111000</v>
      </c>
    </row>
    <row r="19" spans="1:10" ht="15">
      <c r="A19" s="112" t="s">
        <v>10</v>
      </c>
      <c r="B19" s="130">
        <v>347000</v>
      </c>
      <c r="C19" s="133">
        <v>62000</v>
      </c>
      <c r="D19" s="130">
        <v>32900</v>
      </c>
      <c r="E19" s="130">
        <v>73000</v>
      </c>
      <c r="F19" s="130"/>
      <c r="G19" s="172">
        <f t="shared" si="0"/>
        <v>514900</v>
      </c>
      <c r="H19" s="133">
        <f>'(D) SUF revenue-SUG-FTES'!R18</f>
        <v>1075000</v>
      </c>
      <c r="I19" s="133"/>
      <c r="J19" s="173">
        <f t="shared" si="1"/>
        <v>560100</v>
      </c>
    </row>
    <row r="20" spans="1:10" ht="15">
      <c r="A20" s="112" t="s">
        <v>11</v>
      </c>
      <c r="B20" s="130">
        <v>1499000</v>
      </c>
      <c r="C20" s="133">
        <v>302000</v>
      </c>
      <c r="D20" s="130">
        <v>1040500</v>
      </c>
      <c r="E20" s="130">
        <v>228000</v>
      </c>
      <c r="F20" s="130"/>
      <c r="G20" s="172">
        <f t="shared" si="0"/>
        <v>3069500</v>
      </c>
      <c r="H20" s="133">
        <f>'(D) SUF revenue-SUG-FTES'!R19</f>
        <v>6811000</v>
      </c>
      <c r="I20" s="133"/>
      <c r="J20" s="173">
        <f t="shared" si="1"/>
        <v>3741500</v>
      </c>
    </row>
    <row r="21" spans="1:10" ht="15">
      <c r="A21" s="112" t="s">
        <v>12</v>
      </c>
      <c r="B21" s="130">
        <v>1088000</v>
      </c>
      <c r="C21" s="133">
        <v>226000</v>
      </c>
      <c r="D21" s="130">
        <v>76800</v>
      </c>
      <c r="E21" s="130">
        <v>210000</v>
      </c>
      <c r="F21" s="130"/>
      <c r="G21" s="172">
        <f t="shared" si="0"/>
        <v>1600800</v>
      </c>
      <c r="H21" s="133">
        <f>'(D) SUF revenue-SUG-FTES'!R20</f>
        <v>3418000</v>
      </c>
      <c r="I21" s="133"/>
      <c r="J21" s="173">
        <f t="shared" si="1"/>
        <v>1817200</v>
      </c>
    </row>
    <row r="22" spans="1:10" ht="15">
      <c r="A22" s="112" t="s">
        <v>13</v>
      </c>
      <c r="B22" s="130">
        <v>1356000</v>
      </c>
      <c r="C22" s="133">
        <v>248000</v>
      </c>
      <c r="D22" s="130">
        <v>236700</v>
      </c>
      <c r="E22" s="130">
        <v>203000</v>
      </c>
      <c r="F22" s="130"/>
      <c r="G22" s="172">
        <f t="shared" si="0"/>
        <v>2043700</v>
      </c>
      <c r="H22" s="133">
        <f>'(D) SUF revenue-SUG-FTES'!R21</f>
        <v>5124000</v>
      </c>
      <c r="I22" s="133"/>
      <c r="J22" s="173">
        <f t="shared" si="1"/>
        <v>3080300</v>
      </c>
    </row>
    <row r="23" spans="1:10" ht="15">
      <c r="A23" s="112" t="s">
        <v>14</v>
      </c>
      <c r="B23" s="130">
        <v>844000</v>
      </c>
      <c r="C23" s="133">
        <v>168000</v>
      </c>
      <c r="D23" s="130">
        <v>24100</v>
      </c>
      <c r="E23" s="130">
        <v>169000</v>
      </c>
      <c r="F23" s="130"/>
      <c r="G23" s="172">
        <f t="shared" si="0"/>
        <v>1205100</v>
      </c>
      <c r="H23" s="133">
        <f>'(D) SUF revenue-SUG-FTES'!R22</f>
        <v>2710000</v>
      </c>
      <c r="I23" s="133"/>
      <c r="J23" s="173">
        <f t="shared" si="1"/>
        <v>1504900</v>
      </c>
    </row>
    <row r="24" spans="1:10" ht="15">
      <c r="A24" s="112" t="s">
        <v>15</v>
      </c>
      <c r="B24" s="130">
        <v>1791000</v>
      </c>
      <c r="C24" s="133">
        <v>342000</v>
      </c>
      <c r="D24" s="130">
        <v>0</v>
      </c>
      <c r="E24" s="130">
        <v>334000</v>
      </c>
      <c r="F24" s="130"/>
      <c r="G24" s="172">
        <f t="shared" si="0"/>
        <v>2467000</v>
      </c>
      <c r="H24" s="133">
        <f>'(D) SUF revenue-SUG-FTES'!R23</f>
        <v>5842000</v>
      </c>
      <c r="I24" s="133"/>
      <c r="J24" s="173">
        <f t="shared" si="1"/>
        <v>3375000</v>
      </c>
    </row>
    <row r="25" spans="1:10" ht="15">
      <c r="A25" s="112" t="s">
        <v>16</v>
      </c>
      <c r="B25" s="130">
        <v>1421000</v>
      </c>
      <c r="C25" s="133">
        <v>302000</v>
      </c>
      <c r="D25" s="130">
        <v>0</v>
      </c>
      <c r="E25" s="130">
        <v>234000</v>
      </c>
      <c r="F25" s="130"/>
      <c r="G25" s="172">
        <f t="shared" si="0"/>
        <v>1957000</v>
      </c>
      <c r="H25" s="133">
        <f>'(D) SUF revenue-SUG-FTES'!R24</f>
        <v>4921000</v>
      </c>
      <c r="I25" s="133"/>
      <c r="J25" s="173">
        <f t="shared" si="1"/>
        <v>2964000</v>
      </c>
    </row>
    <row r="26" spans="1:10" ht="15">
      <c r="A26" s="112" t="s">
        <v>17</v>
      </c>
      <c r="B26" s="130">
        <v>1382000</v>
      </c>
      <c r="C26" s="133">
        <v>275000</v>
      </c>
      <c r="D26" s="130">
        <v>0</v>
      </c>
      <c r="E26" s="130">
        <v>298000</v>
      </c>
      <c r="F26" s="130"/>
      <c r="G26" s="172">
        <f t="shared" si="0"/>
        <v>1955000</v>
      </c>
      <c r="H26" s="133">
        <f>'(D) SUF revenue-SUG-FTES'!R25</f>
        <v>5849000</v>
      </c>
      <c r="I26" s="133"/>
      <c r="J26" s="173">
        <f t="shared" si="1"/>
        <v>3894000</v>
      </c>
    </row>
    <row r="27" spans="1:10" ht="15">
      <c r="A27" s="112" t="s">
        <v>18</v>
      </c>
      <c r="B27" s="130">
        <v>1246000</v>
      </c>
      <c r="C27" s="133">
        <v>250000</v>
      </c>
      <c r="D27" s="130">
        <v>49900</v>
      </c>
      <c r="E27" s="130">
        <v>242000</v>
      </c>
      <c r="F27" s="130"/>
      <c r="G27" s="172">
        <f t="shared" si="0"/>
        <v>1787900</v>
      </c>
      <c r="H27" s="133">
        <f>'(D) SUF revenue-SUG-FTES'!R26</f>
        <v>3662000</v>
      </c>
      <c r="I27" s="133"/>
      <c r="J27" s="173">
        <f t="shared" si="1"/>
        <v>1874100</v>
      </c>
    </row>
    <row r="28" spans="1:10" ht="15">
      <c r="A28" s="112" t="s">
        <v>19</v>
      </c>
      <c r="B28" s="130">
        <v>480000</v>
      </c>
      <c r="C28" s="133">
        <v>86000</v>
      </c>
      <c r="D28" s="130">
        <v>0</v>
      </c>
      <c r="E28" s="130">
        <v>86000</v>
      </c>
      <c r="F28" s="130"/>
      <c r="G28" s="172">
        <f t="shared" si="0"/>
        <v>652000</v>
      </c>
      <c r="H28" s="133">
        <f>'(D) SUF revenue-SUG-FTES'!R27</f>
        <v>1260000</v>
      </c>
      <c r="I28" s="133"/>
      <c r="J28" s="173">
        <f t="shared" si="1"/>
        <v>608000</v>
      </c>
    </row>
    <row r="29" spans="1:10" ht="15">
      <c r="A29" s="112" t="s">
        <v>20</v>
      </c>
      <c r="B29" s="130">
        <v>506000</v>
      </c>
      <c r="C29" s="133">
        <v>85000</v>
      </c>
      <c r="D29" s="130">
        <v>300800</v>
      </c>
      <c r="E29" s="130">
        <v>92000</v>
      </c>
      <c r="F29" s="130"/>
      <c r="G29" s="172">
        <f t="shared" si="0"/>
        <v>983800</v>
      </c>
      <c r="H29" s="133">
        <f>'(D) SUF revenue-SUG-FTES'!R28</f>
        <v>1410000</v>
      </c>
      <c r="I29" s="133"/>
      <c r="J29" s="173">
        <f t="shared" si="1"/>
        <v>426200</v>
      </c>
    </row>
    <row r="30" spans="1:10" ht="15">
      <c r="A30" s="112" t="s">
        <v>21</v>
      </c>
      <c r="B30" s="130">
        <v>532000</v>
      </c>
      <c r="C30" s="133">
        <v>89000</v>
      </c>
      <c r="D30" s="130">
        <v>0</v>
      </c>
      <c r="E30" s="130">
        <v>100000</v>
      </c>
      <c r="F30" s="130"/>
      <c r="G30" s="172">
        <f t="shared" si="0"/>
        <v>721000</v>
      </c>
      <c r="H30" s="133">
        <f>'(D) SUF revenue-SUG-FTES'!R29</f>
        <v>1444000</v>
      </c>
      <c r="I30" s="133"/>
      <c r="J30" s="173">
        <f t="shared" si="1"/>
        <v>723000</v>
      </c>
    </row>
    <row r="31" spans="1:10" ht="7.5" customHeight="1">
      <c r="A31" s="112"/>
      <c r="B31" s="130"/>
      <c r="C31" s="130"/>
      <c r="D31" s="130"/>
      <c r="E31" s="130"/>
      <c r="F31" s="130"/>
      <c r="G31" s="174"/>
      <c r="H31" s="130"/>
      <c r="I31" s="130"/>
      <c r="J31" s="173"/>
    </row>
    <row r="32" spans="1:10" ht="18" customHeight="1">
      <c r="A32" s="138" t="s">
        <v>22</v>
      </c>
      <c r="B32" s="127">
        <f aca="true" t="shared" si="2" ref="B32:J32">SUM(B8:B31)</f>
        <v>21446000</v>
      </c>
      <c r="C32" s="127">
        <f t="shared" si="2"/>
        <v>4136000</v>
      </c>
      <c r="D32" s="127">
        <f t="shared" si="2"/>
        <v>5834900</v>
      </c>
      <c r="E32" s="127">
        <f t="shared" si="2"/>
        <v>4000000</v>
      </c>
      <c r="F32" s="129"/>
      <c r="G32" s="127">
        <f t="shared" si="2"/>
        <v>35416900</v>
      </c>
      <c r="H32" s="127">
        <f t="shared" si="2"/>
        <v>74270000</v>
      </c>
      <c r="I32" s="127"/>
      <c r="J32" s="127">
        <f t="shared" si="2"/>
        <v>38853100</v>
      </c>
    </row>
    <row r="33" spans="1:10" ht="15">
      <c r="A33" s="112"/>
      <c r="B33" s="130"/>
      <c r="C33" s="130"/>
      <c r="D33" s="130"/>
      <c r="E33" s="130"/>
      <c r="F33" s="130"/>
      <c r="G33" s="174"/>
      <c r="H33" s="112"/>
      <c r="I33" s="112"/>
      <c r="J33" s="148"/>
    </row>
    <row r="34" spans="1:10" ht="15">
      <c r="A34" s="112" t="s">
        <v>23</v>
      </c>
      <c r="B34" s="130">
        <v>309000</v>
      </c>
      <c r="C34" s="130">
        <v>66000</v>
      </c>
      <c r="D34" s="130">
        <v>0</v>
      </c>
      <c r="E34" s="130">
        <v>0</v>
      </c>
      <c r="F34" s="130"/>
      <c r="G34" s="172">
        <f>SUM(B34:E34)</f>
        <v>375000</v>
      </c>
      <c r="H34" s="147">
        <f>'(D) SUF revenue-SUG-FTES'!R33</f>
        <v>0</v>
      </c>
      <c r="I34" s="147"/>
      <c r="J34" s="173">
        <f>H34-G34</f>
        <v>-375000</v>
      </c>
    </row>
    <row r="35" spans="1:10" ht="18">
      <c r="A35" s="112" t="s">
        <v>47</v>
      </c>
      <c r="B35" s="130">
        <v>0</v>
      </c>
      <c r="C35" s="130">
        <v>0</v>
      </c>
      <c r="D35" s="130">
        <v>0</v>
      </c>
      <c r="E35" s="130">
        <v>0</v>
      </c>
      <c r="F35" s="130"/>
      <c r="G35" s="172">
        <f>SUM(B35:E35)</f>
        <v>0</v>
      </c>
      <c r="H35" s="147">
        <f>'(D) SUF revenue-SUG-FTES'!R34+59000</f>
        <v>4000</v>
      </c>
      <c r="I35" s="179">
        <v>2</v>
      </c>
      <c r="J35" s="173">
        <f>H35-G35</f>
        <v>4000</v>
      </c>
    </row>
    <row r="36" spans="1:10" ht="15">
      <c r="A36" s="112" t="s">
        <v>24</v>
      </c>
      <c r="B36" s="130">
        <v>0</v>
      </c>
      <c r="C36" s="130">
        <v>0</v>
      </c>
      <c r="D36" s="130">
        <v>0</v>
      </c>
      <c r="E36" s="130">
        <v>0</v>
      </c>
      <c r="F36" s="130"/>
      <c r="G36" s="172">
        <f>SUM(B36:E36)</f>
        <v>0</v>
      </c>
      <c r="H36" s="147">
        <f>'(D) SUF revenue-SUG-FTES'!R35</f>
        <v>104000</v>
      </c>
      <c r="I36" s="147"/>
      <c r="J36" s="173">
        <f>H36-G36</f>
        <v>104000</v>
      </c>
    </row>
    <row r="37" spans="1:10" ht="18">
      <c r="A37" s="112" t="s">
        <v>25</v>
      </c>
      <c r="B37" s="130">
        <v>0</v>
      </c>
      <c r="C37" s="130">
        <v>0</v>
      </c>
      <c r="D37" s="130">
        <v>0</v>
      </c>
      <c r="E37" s="130">
        <v>0</v>
      </c>
      <c r="F37" s="130"/>
      <c r="G37" s="172">
        <f>SUM(B37:E37)</f>
        <v>0</v>
      </c>
      <c r="H37" s="147">
        <f>'(D) SUF revenue-SUG-FTES'!R36</f>
        <v>26000</v>
      </c>
      <c r="I37" s="179"/>
      <c r="J37" s="173">
        <f>H37-G37</f>
        <v>26000</v>
      </c>
    </row>
    <row r="38" spans="1:10" ht="15">
      <c r="A38" s="112" t="s">
        <v>26</v>
      </c>
      <c r="B38" s="130">
        <v>0</v>
      </c>
      <c r="C38" s="130">
        <v>0</v>
      </c>
      <c r="D38" s="130">
        <v>0</v>
      </c>
      <c r="E38" s="130">
        <v>0</v>
      </c>
      <c r="F38" s="130"/>
      <c r="G38" s="172">
        <f>SUM(B38:E38)</f>
        <v>0</v>
      </c>
      <c r="H38" s="147">
        <f>-'(D) SUF revenue-SUG-FTES'!R37</f>
        <v>0</v>
      </c>
      <c r="I38" s="147"/>
      <c r="J38" s="173">
        <f>H38-G38</f>
        <v>0</v>
      </c>
    </row>
    <row r="39" spans="1:10" ht="7.5" customHeight="1">
      <c r="A39" s="112"/>
      <c r="B39" s="130"/>
      <c r="C39" s="130"/>
      <c r="D39" s="130"/>
      <c r="E39" s="130"/>
      <c r="F39" s="130"/>
      <c r="G39" s="174"/>
      <c r="H39" s="112"/>
      <c r="I39" s="112"/>
      <c r="J39" s="148"/>
    </row>
    <row r="40" spans="1:10" ht="18" customHeight="1" thickBot="1">
      <c r="A40" s="139" t="s">
        <v>27</v>
      </c>
      <c r="B40" s="140">
        <f aca="true" t="shared" si="3" ref="B40:J40">SUM(B32:B38)</f>
        <v>21755000</v>
      </c>
      <c r="C40" s="140">
        <f t="shared" si="3"/>
        <v>4202000</v>
      </c>
      <c r="D40" s="140">
        <f t="shared" si="3"/>
        <v>5834900</v>
      </c>
      <c r="E40" s="140">
        <f t="shared" si="3"/>
        <v>4000000</v>
      </c>
      <c r="F40" s="129"/>
      <c r="G40" s="140">
        <f t="shared" si="3"/>
        <v>35791900</v>
      </c>
      <c r="H40" s="140">
        <f t="shared" si="3"/>
        <v>74404000</v>
      </c>
      <c r="I40" s="140"/>
      <c r="J40" s="140">
        <f t="shared" si="3"/>
        <v>38612100</v>
      </c>
    </row>
    <row r="41" spans="1:10" ht="18" customHeight="1">
      <c r="A41" s="88"/>
      <c r="B41" s="69"/>
      <c r="C41" s="69"/>
      <c r="D41" s="69"/>
      <c r="G41" s="83"/>
      <c r="H41" s="63"/>
      <c r="I41" s="63"/>
      <c r="J41" s="63"/>
    </row>
    <row r="42" spans="1:10" ht="20.25" customHeight="1">
      <c r="A42" s="64" t="s">
        <v>98</v>
      </c>
      <c r="B42" s="69"/>
      <c r="C42" s="69"/>
      <c r="D42" s="69"/>
      <c r="G42" s="83"/>
      <c r="H42" s="63"/>
      <c r="I42" s="63"/>
      <c r="J42" s="63"/>
    </row>
    <row r="43" spans="1:4" ht="18">
      <c r="A43" s="64" t="s">
        <v>169</v>
      </c>
      <c r="B43" s="49"/>
      <c r="C43" s="49"/>
      <c r="D43" s="49"/>
    </row>
    <row r="44" spans="2:4" ht="15">
      <c r="B44" s="49"/>
      <c r="C44" s="49"/>
      <c r="D44" s="49"/>
    </row>
    <row r="45" spans="2:4" ht="15">
      <c r="B45" s="49"/>
      <c r="C45" s="49"/>
      <c r="D45" s="49"/>
    </row>
    <row r="46" spans="2:4" ht="15">
      <c r="B46" s="49"/>
      <c r="C46" s="49"/>
      <c r="D46" s="49"/>
    </row>
  </sheetData>
  <sheetProtection/>
  <mergeCells count="2">
    <mergeCell ref="B4:E4"/>
    <mergeCell ref="G4:J4"/>
  </mergeCells>
  <printOptions/>
  <pageMargins left="1" right="0.25" top="0.5" bottom="0.25" header="0.5" footer="0.5"/>
  <pageSetup fitToWidth="2" fitToHeight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" sqref="I2"/>
    </sheetView>
  </sheetViews>
  <sheetFormatPr defaultColWidth="9.33203125" defaultRowHeight="12.75"/>
  <cols>
    <col min="1" max="1" width="30.5" style="14" customWidth="1"/>
    <col min="2" max="2" width="13.5" style="14" customWidth="1"/>
    <col min="3" max="3" width="16.33203125" style="94" bestFit="1" customWidth="1"/>
    <col min="4" max="4" width="16" style="1" bestFit="1" customWidth="1"/>
    <col min="5" max="5" width="16.83203125" style="1" customWidth="1"/>
    <col min="6" max="6" width="6.83203125" style="42" customWidth="1"/>
    <col min="7" max="7" width="11.33203125" style="1" customWidth="1"/>
    <col min="8" max="9" width="13.5" style="1" customWidth="1"/>
    <col min="10" max="10" width="16.66015625" style="14" customWidth="1"/>
    <col min="11" max="11" width="5.66015625" style="36" customWidth="1"/>
    <col min="12" max="12" width="13" style="14" bestFit="1" customWidth="1"/>
    <col min="13" max="13" width="2.83203125" style="36" customWidth="1"/>
    <col min="14" max="14" width="14.83203125" style="14" bestFit="1" customWidth="1"/>
    <col min="15" max="15" width="2.83203125" style="14" customWidth="1"/>
    <col min="16" max="16" width="14.5" style="14" bestFit="1" customWidth="1"/>
    <col min="17" max="17" width="2.83203125" style="14" customWidth="1"/>
    <col min="18" max="18" width="14.5" style="14" bestFit="1" customWidth="1"/>
    <col min="19" max="16384" width="9.33203125" style="14" customWidth="1"/>
  </cols>
  <sheetData>
    <row r="1" spans="1:5" ht="15.75" customHeight="1">
      <c r="A1" s="157" t="s">
        <v>164</v>
      </c>
      <c r="B1" s="47"/>
      <c r="E1" s="48"/>
    </row>
    <row r="2" spans="1:12" ht="15.75" customHeight="1">
      <c r="A2" s="161"/>
      <c r="B2" s="3"/>
      <c r="C2" s="109"/>
      <c r="D2" s="42"/>
      <c r="E2" s="42"/>
      <c r="G2" s="42"/>
      <c r="H2" s="42"/>
      <c r="I2" s="42"/>
      <c r="J2" s="36"/>
      <c r="L2" s="36"/>
    </row>
    <row r="3" spans="1:18" s="6" customFormat="1" ht="15.75" customHeight="1">
      <c r="A3" s="41"/>
      <c r="B3" s="100">
        <v>-1</v>
      </c>
      <c r="C3" s="100">
        <v>-2</v>
      </c>
      <c r="D3" s="100">
        <v>-3</v>
      </c>
      <c r="E3" s="100">
        <v>-4</v>
      </c>
      <c r="F3" s="101"/>
      <c r="G3" s="100">
        <f>-5</f>
        <v>-5</v>
      </c>
      <c r="H3" s="100">
        <v>-6</v>
      </c>
      <c r="I3" s="100">
        <v>-7</v>
      </c>
      <c r="J3" s="100">
        <v>-8</v>
      </c>
      <c r="K3" s="41"/>
      <c r="L3" s="32">
        <f>-9</f>
        <v>-9</v>
      </c>
      <c r="M3" s="32"/>
      <c r="N3" s="33">
        <v>-10</v>
      </c>
      <c r="O3" s="33"/>
      <c r="P3" s="33">
        <v>-11</v>
      </c>
      <c r="Q3" s="33"/>
      <c r="R3" s="33">
        <v>-12</v>
      </c>
    </row>
    <row r="4" spans="1:18" s="49" customFormat="1" ht="15">
      <c r="A4" s="104"/>
      <c r="B4" s="263" t="s">
        <v>63</v>
      </c>
      <c r="C4" s="263"/>
      <c r="D4" s="263"/>
      <c r="E4" s="263"/>
      <c r="F4" s="106"/>
      <c r="G4" s="105"/>
      <c r="H4" s="107" t="s">
        <v>64</v>
      </c>
      <c r="I4" s="107"/>
      <c r="J4" s="107"/>
      <c r="K4" s="104"/>
      <c r="L4" s="263" t="s">
        <v>61</v>
      </c>
      <c r="M4" s="263"/>
      <c r="N4" s="263"/>
      <c r="O4" s="263"/>
      <c r="P4" s="263"/>
      <c r="Q4" s="263"/>
      <c r="R4" s="263"/>
    </row>
    <row r="5" spans="1:18" ht="63.75">
      <c r="A5" s="37"/>
      <c r="B5" s="52" t="s">
        <v>62</v>
      </c>
      <c r="C5" s="55" t="s">
        <v>160</v>
      </c>
      <c r="D5" s="55" t="s">
        <v>163</v>
      </c>
      <c r="E5" s="55" t="s">
        <v>156</v>
      </c>
      <c r="F5" s="55"/>
      <c r="G5" s="34" t="s">
        <v>159</v>
      </c>
      <c r="H5" s="55" t="s">
        <v>160</v>
      </c>
      <c r="I5" s="55" t="s">
        <v>163</v>
      </c>
      <c r="J5" s="55" t="s">
        <v>157</v>
      </c>
      <c r="K5" s="55"/>
      <c r="L5" s="34" t="s">
        <v>60</v>
      </c>
      <c r="M5" s="45"/>
      <c r="N5" s="55" t="s">
        <v>160</v>
      </c>
      <c r="P5" s="55" t="s">
        <v>163</v>
      </c>
      <c r="R5" s="55" t="s">
        <v>158</v>
      </c>
    </row>
    <row r="6" spans="1:18" s="99" customFormat="1" ht="15">
      <c r="A6" s="97"/>
      <c r="B6" s="97"/>
      <c r="C6" s="128"/>
      <c r="D6" s="97"/>
      <c r="E6" s="98" t="s">
        <v>67</v>
      </c>
      <c r="F6" s="97"/>
      <c r="G6" s="97"/>
      <c r="H6" s="97"/>
      <c r="I6" s="97"/>
      <c r="J6" s="98" t="s">
        <v>59</v>
      </c>
      <c r="K6" s="97"/>
      <c r="L6" s="97" t="s">
        <v>58</v>
      </c>
      <c r="M6" s="97"/>
      <c r="N6" s="97" t="s">
        <v>65</v>
      </c>
      <c r="P6" s="97" t="s">
        <v>66</v>
      </c>
      <c r="R6" s="110" t="s">
        <v>68</v>
      </c>
    </row>
    <row r="7" spans="1:20" ht="15">
      <c r="A7" s="89" t="s">
        <v>0</v>
      </c>
      <c r="B7" s="130">
        <v>6885</v>
      </c>
      <c r="C7" s="129">
        <v>2045000</v>
      </c>
      <c r="D7" s="129">
        <v>-682000</v>
      </c>
      <c r="E7" s="129">
        <f>SUM(C7:D7)</f>
        <v>1363000</v>
      </c>
      <c r="F7" s="131"/>
      <c r="G7" s="112">
        <v>81</v>
      </c>
      <c r="H7" s="132">
        <v>-28000</v>
      </c>
      <c r="I7" s="132">
        <v>9000</v>
      </c>
      <c r="J7" s="129">
        <f>SUM(H7:I7)</f>
        <v>-19000</v>
      </c>
      <c r="K7" s="131"/>
      <c r="L7" s="133">
        <f>B7+G7</f>
        <v>6966</v>
      </c>
      <c r="M7" s="132"/>
      <c r="N7" s="134">
        <f>C7+H7</f>
        <v>2017000</v>
      </c>
      <c r="O7" s="134"/>
      <c r="P7" s="134">
        <f>D7+I7</f>
        <v>-673000</v>
      </c>
      <c r="Q7" s="112"/>
      <c r="R7" s="129">
        <f>SUM(N7:P7)</f>
        <v>1344000</v>
      </c>
      <c r="S7" s="135"/>
      <c r="T7" s="135"/>
    </row>
    <row r="8" spans="1:20" ht="15">
      <c r="A8" s="90" t="s">
        <v>1</v>
      </c>
      <c r="B8" s="130">
        <v>2467</v>
      </c>
      <c r="C8" s="130">
        <v>494000</v>
      </c>
      <c r="D8" s="130">
        <v>-165000</v>
      </c>
      <c r="E8" s="130">
        <f aca="true" t="shared" si="0" ref="E8:E29">SUM(C8:D8)</f>
        <v>329000</v>
      </c>
      <c r="F8" s="131"/>
      <c r="G8" s="112">
        <v>0</v>
      </c>
      <c r="H8" s="133">
        <v>-4000</v>
      </c>
      <c r="I8" s="133">
        <v>1000</v>
      </c>
      <c r="J8" s="130">
        <f>SUM(H8:I8)</f>
        <v>-3000</v>
      </c>
      <c r="K8" s="131"/>
      <c r="L8" s="133">
        <f aca="true" t="shared" si="1" ref="L8:L29">B8+G8</f>
        <v>2467</v>
      </c>
      <c r="M8" s="133"/>
      <c r="N8" s="112">
        <f aca="true" t="shared" si="2" ref="N8:N29">C8+H8</f>
        <v>490000</v>
      </c>
      <c r="O8" s="112"/>
      <c r="P8" s="112">
        <f aca="true" t="shared" si="3" ref="P8:P28">D8+I8</f>
        <v>-164000</v>
      </c>
      <c r="Q8" s="112"/>
      <c r="R8" s="130">
        <f>SUM(N8:P8)</f>
        <v>326000</v>
      </c>
      <c r="S8" s="135"/>
      <c r="T8" s="135"/>
    </row>
    <row r="9" spans="1:20" ht="15">
      <c r="A9" s="90" t="s">
        <v>2</v>
      </c>
      <c r="B9" s="130">
        <v>14712</v>
      </c>
      <c r="C9" s="130">
        <v>4237000</v>
      </c>
      <c r="D9" s="130">
        <v>-1412000</v>
      </c>
      <c r="E9" s="130">
        <f t="shared" si="0"/>
        <v>2825000</v>
      </c>
      <c r="F9" s="131"/>
      <c r="G9" s="112">
        <v>429</v>
      </c>
      <c r="H9" s="133">
        <v>222000</v>
      </c>
      <c r="I9" s="133">
        <v>-74000</v>
      </c>
      <c r="J9" s="130">
        <f aca="true" t="shared" si="4" ref="J9:J29">SUM(H9:I9)</f>
        <v>148000</v>
      </c>
      <c r="K9" s="131"/>
      <c r="L9" s="133">
        <f t="shared" si="1"/>
        <v>15141</v>
      </c>
      <c r="M9" s="133"/>
      <c r="N9" s="112">
        <f t="shared" si="2"/>
        <v>4459000</v>
      </c>
      <c r="O9" s="112"/>
      <c r="P9" s="112">
        <f t="shared" si="3"/>
        <v>-1486000</v>
      </c>
      <c r="Q9" s="112"/>
      <c r="R9" s="130">
        <f aca="true" t="shared" si="5" ref="R9:R29">SUM(N9:P9)</f>
        <v>2973000</v>
      </c>
      <c r="S9" s="135"/>
      <c r="T9" s="135"/>
    </row>
    <row r="10" spans="1:20" ht="15">
      <c r="A10" s="90" t="s">
        <v>3</v>
      </c>
      <c r="B10" s="130">
        <v>9349</v>
      </c>
      <c r="C10" s="130">
        <v>2722000</v>
      </c>
      <c r="D10" s="130">
        <v>-907000</v>
      </c>
      <c r="E10" s="130">
        <f t="shared" si="0"/>
        <v>1815000</v>
      </c>
      <c r="F10" s="131"/>
      <c r="G10" s="112">
        <v>111</v>
      </c>
      <c r="H10" s="133">
        <v>-267000</v>
      </c>
      <c r="I10" s="133">
        <v>89000</v>
      </c>
      <c r="J10" s="130">
        <f t="shared" si="4"/>
        <v>-178000</v>
      </c>
      <c r="K10" s="131"/>
      <c r="L10" s="133">
        <f t="shared" si="1"/>
        <v>9460</v>
      </c>
      <c r="M10" s="133"/>
      <c r="N10" s="112">
        <f t="shared" si="2"/>
        <v>2455000</v>
      </c>
      <c r="O10" s="112"/>
      <c r="P10" s="112">
        <f t="shared" si="3"/>
        <v>-818000</v>
      </c>
      <c r="Q10" s="112"/>
      <c r="R10" s="130">
        <f t="shared" si="5"/>
        <v>1637000</v>
      </c>
      <c r="S10" s="135"/>
      <c r="T10" s="135"/>
    </row>
    <row r="11" spans="1:20" ht="15">
      <c r="A11" s="90" t="s">
        <v>31</v>
      </c>
      <c r="B11" s="130">
        <v>11764</v>
      </c>
      <c r="C11" s="130">
        <v>3089000</v>
      </c>
      <c r="D11" s="130">
        <v>-1030000</v>
      </c>
      <c r="E11" s="130">
        <f t="shared" si="0"/>
        <v>2059000</v>
      </c>
      <c r="F11" s="131"/>
      <c r="G11" s="112">
        <v>745</v>
      </c>
      <c r="H11" s="133">
        <v>539000</v>
      </c>
      <c r="I11" s="133">
        <v>-180000</v>
      </c>
      <c r="J11" s="130">
        <f t="shared" si="4"/>
        <v>359000</v>
      </c>
      <c r="K11" s="131"/>
      <c r="L11" s="133">
        <f t="shared" si="1"/>
        <v>12509</v>
      </c>
      <c r="M11" s="133"/>
      <c r="N11" s="112">
        <f t="shared" si="2"/>
        <v>3628000</v>
      </c>
      <c r="O11" s="112"/>
      <c r="P11" s="112">
        <f t="shared" si="3"/>
        <v>-1210000</v>
      </c>
      <c r="Q11" s="112"/>
      <c r="R11" s="130">
        <f t="shared" si="5"/>
        <v>2418000</v>
      </c>
      <c r="S11" s="135"/>
      <c r="T11" s="135"/>
    </row>
    <row r="12" spans="1:20" ht="15">
      <c r="A12" s="90" t="s">
        <v>4</v>
      </c>
      <c r="B12" s="130">
        <v>18185</v>
      </c>
      <c r="C12" s="130">
        <v>6511000</v>
      </c>
      <c r="D12" s="130">
        <v>-2170000</v>
      </c>
      <c r="E12" s="130">
        <f t="shared" si="0"/>
        <v>4341000</v>
      </c>
      <c r="F12" s="131"/>
      <c r="G12" s="112">
        <v>590</v>
      </c>
      <c r="H12" s="133">
        <v>264000</v>
      </c>
      <c r="I12" s="133">
        <v>-88000</v>
      </c>
      <c r="J12" s="130">
        <f t="shared" si="4"/>
        <v>176000</v>
      </c>
      <c r="K12" s="131"/>
      <c r="L12" s="133">
        <f t="shared" si="1"/>
        <v>18775</v>
      </c>
      <c r="M12" s="133"/>
      <c r="N12" s="112">
        <f t="shared" si="2"/>
        <v>6775000</v>
      </c>
      <c r="O12" s="112"/>
      <c r="P12" s="112">
        <f t="shared" si="3"/>
        <v>-2258000</v>
      </c>
      <c r="Q12" s="112"/>
      <c r="R12" s="130">
        <f t="shared" si="5"/>
        <v>4517000</v>
      </c>
      <c r="S12" s="135"/>
      <c r="T12" s="135"/>
    </row>
    <row r="13" spans="1:20" ht="15">
      <c r="A13" s="90" t="s">
        <v>5</v>
      </c>
      <c r="B13" s="130">
        <v>27190</v>
      </c>
      <c r="C13" s="130">
        <v>9579000</v>
      </c>
      <c r="D13" s="130">
        <v>-3193000</v>
      </c>
      <c r="E13" s="130">
        <f t="shared" si="0"/>
        <v>6386000</v>
      </c>
      <c r="F13" s="131"/>
      <c r="G13" s="112">
        <v>872</v>
      </c>
      <c r="H13" s="133">
        <v>4000</v>
      </c>
      <c r="I13" s="133">
        <v>-1000</v>
      </c>
      <c r="J13" s="130">
        <f t="shared" si="4"/>
        <v>3000</v>
      </c>
      <c r="K13" s="131"/>
      <c r="L13" s="133">
        <f t="shared" si="1"/>
        <v>28062</v>
      </c>
      <c r="M13" s="133"/>
      <c r="N13" s="112">
        <f t="shared" si="2"/>
        <v>9583000</v>
      </c>
      <c r="O13" s="112"/>
      <c r="P13" s="112">
        <f t="shared" si="3"/>
        <v>-3194000</v>
      </c>
      <c r="Q13" s="112"/>
      <c r="R13" s="130">
        <f t="shared" si="5"/>
        <v>6389000</v>
      </c>
      <c r="S13" s="135"/>
      <c r="T13" s="135"/>
    </row>
    <row r="14" spans="1:20" ht="15">
      <c r="A14" s="90" t="s">
        <v>6</v>
      </c>
      <c r="B14" s="130">
        <v>7034</v>
      </c>
      <c r="C14" s="130">
        <v>2004000</v>
      </c>
      <c r="D14" s="130">
        <v>-668000</v>
      </c>
      <c r="E14" s="130">
        <f t="shared" si="0"/>
        <v>1336000</v>
      </c>
      <c r="F14" s="131"/>
      <c r="G14" s="112">
        <v>194</v>
      </c>
      <c r="H14" s="133">
        <v>-55000</v>
      </c>
      <c r="I14" s="133">
        <v>18000</v>
      </c>
      <c r="J14" s="130">
        <f t="shared" si="4"/>
        <v>-37000</v>
      </c>
      <c r="K14" s="131"/>
      <c r="L14" s="133">
        <f t="shared" si="1"/>
        <v>7228</v>
      </c>
      <c r="M14" s="133"/>
      <c r="N14" s="112">
        <f t="shared" si="2"/>
        <v>1949000</v>
      </c>
      <c r="O14" s="112"/>
      <c r="P14" s="112">
        <f t="shared" si="3"/>
        <v>-650000</v>
      </c>
      <c r="Q14" s="112"/>
      <c r="R14" s="130">
        <f t="shared" si="5"/>
        <v>1299000</v>
      </c>
      <c r="S14" s="135"/>
      <c r="T14" s="135"/>
    </row>
    <row r="15" spans="1:20" ht="15">
      <c r="A15" s="90" t="s">
        <v>7</v>
      </c>
      <c r="B15" s="130">
        <v>28100</v>
      </c>
      <c r="C15" s="130">
        <v>8983000</v>
      </c>
      <c r="D15" s="130">
        <v>-2994000</v>
      </c>
      <c r="E15" s="130">
        <f t="shared" si="0"/>
        <v>5989000</v>
      </c>
      <c r="F15" s="131"/>
      <c r="G15" s="112">
        <v>1289</v>
      </c>
      <c r="H15" s="133">
        <v>608000</v>
      </c>
      <c r="I15" s="133">
        <v>-203000</v>
      </c>
      <c r="J15" s="130">
        <f>SUM(H15:I15)</f>
        <v>405000</v>
      </c>
      <c r="K15" s="131"/>
      <c r="L15" s="133">
        <f t="shared" si="1"/>
        <v>29389</v>
      </c>
      <c r="M15" s="133"/>
      <c r="N15" s="112">
        <f t="shared" si="2"/>
        <v>9591000</v>
      </c>
      <c r="O15" s="112"/>
      <c r="P15" s="112">
        <f t="shared" si="3"/>
        <v>-3197000</v>
      </c>
      <c r="Q15" s="112"/>
      <c r="R15" s="130">
        <f t="shared" si="5"/>
        <v>6394000</v>
      </c>
      <c r="S15" s="135"/>
      <c r="T15" s="135"/>
    </row>
    <row r="16" spans="1:20" ht="15">
      <c r="A16" s="90" t="s">
        <v>8</v>
      </c>
      <c r="B16" s="130">
        <v>17000</v>
      </c>
      <c r="C16" s="130">
        <v>5673000</v>
      </c>
      <c r="D16" s="130">
        <v>-1891000</v>
      </c>
      <c r="E16" s="130">
        <f t="shared" si="0"/>
        <v>3782000</v>
      </c>
      <c r="F16" s="131"/>
      <c r="G16" s="112">
        <v>550</v>
      </c>
      <c r="H16" s="133">
        <v>-588000</v>
      </c>
      <c r="I16" s="133">
        <v>196000</v>
      </c>
      <c r="J16" s="130">
        <f t="shared" si="4"/>
        <v>-392000</v>
      </c>
      <c r="K16" s="131"/>
      <c r="L16" s="133">
        <f t="shared" si="1"/>
        <v>17550</v>
      </c>
      <c r="M16" s="133"/>
      <c r="N16" s="112">
        <f t="shared" si="2"/>
        <v>5085000</v>
      </c>
      <c r="O16" s="112"/>
      <c r="P16" s="112">
        <f t="shared" si="3"/>
        <v>-1695000</v>
      </c>
      <c r="Q16" s="112"/>
      <c r="R16" s="130">
        <f t="shared" si="5"/>
        <v>3390000</v>
      </c>
      <c r="S16" s="135"/>
      <c r="T16" s="135"/>
    </row>
    <row r="17" spans="1:20" ht="15">
      <c r="A17" s="90" t="s">
        <v>9</v>
      </c>
      <c r="B17" s="130">
        <v>870</v>
      </c>
      <c r="C17" s="130">
        <v>117000</v>
      </c>
      <c r="D17" s="130">
        <v>-39000</v>
      </c>
      <c r="E17" s="130">
        <f t="shared" si="0"/>
        <v>78000</v>
      </c>
      <c r="F17" s="131"/>
      <c r="G17" s="112">
        <v>128</v>
      </c>
      <c r="H17" s="133">
        <v>-31000</v>
      </c>
      <c r="I17" s="133">
        <v>10000</v>
      </c>
      <c r="J17" s="130">
        <f t="shared" si="4"/>
        <v>-21000</v>
      </c>
      <c r="K17" s="131"/>
      <c r="L17" s="133">
        <f t="shared" si="1"/>
        <v>998</v>
      </c>
      <c r="M17" s="133"/>
      <c r="N17" s="112">
        <f t="shared" si="2"/>
        <v>86000</v>
      </c>
      <c r="O17" s="112"/>
      <c r="P17" s="112">
        <f t="shared" si="3"/>
        <v>-29000</v>
      </c>
      <c r="Q17" s="112"/>
      <c r="R17" s="130">
        <f t="shared" si="5"/>
        <v>57000</v>
      </c>
      <c r="S17" s="135"/>
      <c r="T17" s="135"/>
    </row>
    <row r="18" spans="1:20" ht="15">
      <c r="A18" s="90" t="s">
        <v>10</v>
      </c>
      <c r="B18" s="130">
        <v>3640</v>
      </c>
      <c r="C18" s="130">
        <v>1517000</v>
      </c>
      <c r="D18" s="130">
        <v>-506000</v>
      </c>
      <c r="E18" s="130">
        <f t="shared" si="0"/>
        <v>1011000</v>
      </c>
      <c r="F18" s="131"/>
      <c r="G18" s="112">
        <v>94</v>
      </c>
      <c r="H18" s="133">
        <v>96000</v>
      </c>
      <c r="I18" s="133">
        <v>-32000</v>
      </c>
      <c r="J18" s="130">
        <f t="shared" si="4"/>
        <v>64000</v>
      </c>
      <c r="K18" s="131"/>
      <c r="L18" s="133">
        <f t="shared" si="1"/>
        <v>3734</v>
      </c>
      <c r="M18" s="133"/>
      <c r="N18" s="112">
        <f t="shared" si="2"/>
        <v>1613000</v>
      </c>
      <c r="O18" s="112"/>
      <c r="P18" s="112">
        <f t="shared" si="3"/>
        <v>-538000</v>
      </c>
      <c r="Q18" s="112"/>
      <c r="R18" s="130">
        <f t="shared" si="5"/>
        <v>1075000</v>
      </c>
      <c r="S18" s="135"/>
      <c r="T18" s="135"/>
    </row>
    <row r="19" spans="1:20" ht="15">
      <c r="A19" s="90" t="s">
        <v>11</v>
      </c>
      <c r="B19" s="130">
        <v>25733</v>
      </c>
      <c r="C19" s="130">
        <v>9360000</v>
      </c>
      <c r="D19" s="130">
        <v>-3120000</v>
      </c>
      <c r="E19" s="130">
        <f t="shared" si="0"/>
        <v>6240000</v>
      </c>
      <c r="F19" s="131"/>
      <c r="G19" s="112">
        <v>1173</v>
      </c>
      <c r="H19" s="133">
        <v>856000</v>
      </c>
      <c r="I19" s="133">
        <v>-285000</v>
      </c>
      <c r="J19" s="130">
        <f t="shared" si="4"/>
        <v>571000</v>
      </c>
      <c r="K19" s="131"/>
      <c r="L19" s="133">
        <f t="shared" si="1"/>
        <v>26906</v>
      </c>
      <c r="M19" s="133"/>
      <c r="N19" s="112">
        <f t="shared" si="2"/>
        <v>10216000</v>
      </c>
      <c r="O19" s="112"/>
      <c r="P19" s="112">
        <f t="shared" si="3"/>
        <v>-3405000</v>
      </c>
      <c r="Q19" s="112"/>
      <c r="R19" s="130">
        <f t="shared" si="5"/>
        <v>6811000</v>
      </c>
      <c r="S19" s="135"/>
      <c r="T19" s="135"/>
    </row>
    <row r="20" spans="1:20" ht="15">
      <c r="A20" s="90" t="s">
        <v>12</v>
      </c>
      <c r="B20" s="130">
        <v>17816</v>
      </c>
      <c r="C20" s="130">
        <v>5428000</v>
      </c>
      <c r="D20" s="130">
        <v>-1809000</v>
      </c>
      <c r="E20" s="130">
        <f t="shared" si="0"/>
        <v>3619000</v>
      </c>
      <c r="F20" s="131"/>
      <c r="G20" s="112">
        <v>672</v>
      </c>
      <c r="H20" s="133">
        <v>-302000</v>
      </c>
      <c r="I20" s="133">
        <v>101000</v>
      </c>
      <c r="J20" s="130">
        <f t="shared" si="4"/>
        <v>-201000</v>
      </c>
      <c r="K20" s="131"/>
      <c r="L20" s="133">
        <f t="shared" si="1"/>
        <v>18488</v>
      </c>
      <c r="M20" s="133"/>
      <c r="N20" s="112">
        <f t="shared" si="2"/>
        <v>5126000</v>
      </c>
      <c r="O20" s="112"/>
      <c r="P20" s="112">
        <f t="shared" si="3"/>
        <v>-1708000</v>
      </c>
      <c r="Q20" s="112"/>
      <c r="R20" s="130">
        <f t="shared" si="5"/>
        <v>3418000</v>
      </c>
      <c r="S20" s="135"/>
      <c r="T20" s="135"/>
    </row>
    <row r="21" spans="1:20" ht="15">
      <c r="A21" s="90" t="s">
        <v>13</v>
      </c>
      <c r="B21" s="130">
        <v>22970</v>
      </c>
      <c r="C21" s="130">
        <v>7348000</v>
      </c>
      <c r="D21" s="130">
        <v>-2449000</v>
      </c>
      <c r="E21" s="130">
        <f t="shared" si="0"/>
        <v>4899000</v>
      </c>
      <c r="F21" s="131"/>
      <c r="G21" s="112">
        <v>431</v>
      </c>
      <c r="H21" s="133">
        <v>338000</v>
      </c>
      <c r="I21" s="133">
        <v>-113000</v>
      </c>
      <c r="J21" s="130">
        <f t="shared" si="4"/>
        <v>225000</v>
      </c>
      <c r="K21" s="131"/>
      <c r="L21" s="133">
        <f t="shared" si="1"/>
        <v>23401</v>
      </c>
      <c r="M21" s="133"/>
      <c r="N21" s="112">
        <f t="shared" si="2"/>
        <v>7686000</v>
      </c>
      <c r="O21" s="112"/>
      <c r="P21" s="112">
        <f t="shared" si="3"/>
        <v>-2562000</v>
      </c>
      <c r="Q21" s="112"/>
      <c r="R21" s="130">
        <f t="shared" si="5"/>
        <v>5124000</v>
      </c>
      <c r="S21" s="135"/>
      <c r="T21" s="135"/>
    </row>
    <row r="22" spans="1:20" ht="15">
      <c r="A22" s="90" t="s">
        <v>14</v>
      </c>
      <c r="B22" s="130">
        <v>14415</v>
      </c>
      <c r="C22" s="130">
        <v>4257000</v>
      </c>
      <c r="D22" s="130">
        <v>-1419000</v>
      </c>
      <c r="E22" s="130">
        <f t="shared" si="0"/>
        <v>2838000</v>
      </c>
      <c r="F22" s="131"/>
      <c r="G22" s="112">
        <v>386</v>
      </c>
      <c r="H22" s="133">
        <v>-192000</v>
      </c>
      <c r="I22" s="133">
        <v>64000</v>
      </c>
      <c r="J22" s="130">
        <f t="shared" si="4"/>
        <v>-128000</v>
      </c>
      <c r="K22" s="131"/>
      <c r="L22" s="133">
        <f t="shared" si="1"/>
        <v>14801</v>
      </c>
      <c r="M22" s="133"/>
      <c r="N22" s="112">
        <f t="shared" si="2"/>
        <v>4065000</v>
      </c>
      <c r="O22" s="112"/>
      <c r="P22" s="112">
        <f t="shared" si="3"/>
        <v>-1355000</v>
      </c>
      <c r="Q22" s="112"/>
      <c r="R22" s="130">
        <f t="shared" si="5"/>
        <v>2710000</v>
      </c>
      <c r="S22" s="135"/>
      <c r="T22" s="135"/>
    </row>
    <row r="23" spans="1:20" ht="15">
      <c r="A23" s="90" t="s">
        <v>15</v>
      </c>
      <c r="B23" s="130">
        <v>28298</v>
      </c>
      <c r="C23" s="130">
        <v>8695000</v>
      </c>
      <c r="D23" s="130">
        <v>-2898000</v>
      </c>
      <c r="E23" s="130">
        <f t="shared" si="0"/>
        <v>5797000</v>
      </c>
      <c r="F23" s="131"/>
      <c r="G23" s="112">
        <v>1332</v>
      </c>
      <c r="H23" s="133">
        <v>68000</v>
      </c>
      <c r="I23" s="133">
        <v>-23000</v>
      </c>
      <c r="J23" s="130">
        <f t="shared" si="4"/>
        <v>45000</v>
      </c>
      <c r="K23" s="131"/>
      <c r="L23" s="133">
        <f t="shared" si="1"/>
        <v>29630</v>
      </c>
      <c r="M23" s="133"/>
      <c r="N23" s="112">
        <f t="shared" si="2"/>
        <v>8763000</v>
      </c>
      <c r="O23" s="112"/>
      <c r="P23" s="112">
        <f t="shared" si="3"/>
        <v>-2921000</v>
      </c>
      <c r="Q23" s="112"/>
      <c r="R23" s="130">
        <f t="shared" si="5"/>
        <v>5842000</v>
      </c>
      <c r="S23" s="135"/>
      <c r="T23" s="135"/>
    </row>
    <row r="24" spans="1:20" ht="15">
      <c r="A24" s="90" t="s">
        <v>16</v>
      </c>
      <c r="B24" s="130">
        <v>23416</v>
      </c>
      <c r="C24" s="130">
        <v>6930000</v>
      </c>
      <c r="D24" s="130">
        <v>-2310000</v>
      </c>
      <c r="E24" s="130">
        <f t="shared" si="0"/>
        <v>4620000</v>
      </c>
      <c r="F24" s="131"/>
      <c r="G24" s="112">
        <v>1509</v>
      </c>
      <c r="H24" s="133">
        <v>452000</v>
      </c>
      <c r="I24" s="133">
        <v>-151000</v>
      </c>
      <c r="J24" s="130">
        <f t="shared" si="4"/>
        <v>301000</v>
      </c>
      <c r="K24" s="131"/>
      <c r="L24" s="133">
        <f t="shared" si="1"/>
        <v>24925</v>
      </c>
      <c r="M24" s="133"/>
      <c r="N24" s="112">
        <f t="shared" si="2"/>
        <v>7382000</v>
      </c>
      <c r="O24" s="112"/>
      <c r="P24" s="112">
        <f t="shared" si="3"/>
        <v>-2461000</v>
      </c>
      <c r="Q24" s="112"/>
      <c r="R24" s="130">
        <f t="shared" si="5"/>
        <v>4921000</v>
      </c>
      <c r="S24" s="135"/>
      <c r="T24" s="135"/>
    </row>
    <row r="25" spans="1:20" ht="15">
      <c r="A25" s="90" t="s">
        <v>17</v>
      </c>
      <c r="B25" s="130">
        <v>22460</v>
      </c>
      <c r="C25" s="130">
        <v>6727000</v>
      </c>
      <c r="D25" s="130">
        <v>-2242000</v>
      </c>
      <c r="E25" s="130">
        <f t="shared" si="0"/>
        <v>4485000</v>
      </c>
      <c r="F25" s="131"/>
      <c r="G25" s="112">
        <v>1578</v>
      </c>
      <c r="H25" s="133">
        <v>2046000</v>
      </c>
      <c r="I25" s="133">
        <v>-682000</v>
      </c>
      <c r="J25" s="130">
        <f t="shared" si="4"/>
        <v>1364000</v>
      </c>
      <c r="K25" s="131"/>
      <c r="L25" s="133">
        <f t="shared" si="1"/>
        <v>24038</v>
      </c>
      <c r="M25" s="133"/>
      <c r="N25" s="112">
        <f t="shared" si="2"/>
        <v>8773000</v>
      </c>
      <c r="O25" s="112"/>
      <c r="P25" s="112">
        <f t="shared" si="3"/>
        <v>-2924000</v>
      </c>
      <c r="Q25" s="112"/>
      <c r="R25" s="130">
        <f t="shared" si="5"/>
        <v>5849000</v>
      </c>
      <c r="S25" s="135"/>
      <c r="T25" s="135"/>
    </row>
    <row r="26" spans="1:20" ht="15">
      <c r="A26" s="90" t="s">
        <v>18</v>
      </c>
      <c r="B26" s="130">
        <v>17350</v>
      </c>
      <c r="C26" s="130">
        <v>5396000</v>
      </c>
      <c r="D26" s="130">
        <v>-1799000</v>
      </c>
      <c r="E26" s="130">
        <f t="shared" si="0"/>
        <v>3597000</v>
      </c>
      <c r="F26" s="131"/>
      <c r="G26" s="112">
        <v>692</v>
      </c>
      <c r="H26" s="133">
        <v>98000</v>
      </c>
      <c r="I26" s="133">
        <v>-33000</v>
      </c>
      <c r="J26" s="130">
        <f t="shared" si="4"/>
        <v>65000</v>
      </c>
      <c r="K26" s="131"/>
      <c r="L26" s="133">
        <f t="shared" si="1"/>
        <v>18042</v>
      </c>
      <c r="M26" s="133"/>
      <c r="N26" s="112">
        <f t="shared" si="2"/>
        <v>5494000</v>
      </c>
      <c r="O26" s="112"/>
      <c r="P26" s="112">
        <f t="shared" si="3"/>
        <v>-1832000</v>
      </c>
      <c r="Q26" s="112"/>
      <c r="R26" s="130">
        <f t="shared" si="5"/>
        <v>3662000</v>
      </c>
      <c r="S26" s="135"/>
      <c r="T26" s="135"/>
    </row>
    <row r="27" spans="1:20" ht="15">
      <c r="A27" s="90" t="s">
        <v>19</v>
      </c>
      <c r="B27" s="130">
        <v>7283</v>
      </c>
      <c r="C27" s="130">
        <v>1926000</v>
      </c>
      <c r="D27" s="130">
        <v>-642000</v>
      </c>
      <c r="E27" s="130">
        <f t="shared" si="0"/>
        <v>1284000</v>
      </c>
      <c r="F27" s="131"/>
      <c r="G27" s="112">
        <v>91</v>
      </c>
      <c r="H27" s="133">
        <v>-36000</v>
      </c>
      <c r="I27" s="133">
        <v>12000</v>
      </c>
      <c r="J27" s="130">
        <f t="shared" si="4"/>
        <v>-24000</v>
      </c>
      <c r="K27" s="131"/>
      <c r="L27" s="133">
        <f t="shared" si="1"/>
        <v>7374</v>
      </c>
      <c r="M27" s="133"/>
      <c r="N27" s="112">
        <f t="shared" si="2"/>
        <v>1890000</v>
      </c>
      <c r="O27" s="112"/>
      <c r="P27" s="112">
        <f t="shared" si="3"/>
        <v>-630000</v>
      </c>
      <c r="Q27" s="112"/>
      <c r="R27" s="130">
        <f t="shared" si="5"/>
        <v>1260000</v>
      </c>
      <c r="S27" s="135"/>
      <c r="T27" s="135"/>
    </row>
    <row r="28" spans="1:20" ht="15">
      <c r="A28" s="90" t="s">
        <v>20</v>
      </c>
      <c r="B28" s="130">
        <v>7500</v>
      </c>
      <c r="C28" s="130">
        <v>2072000</v>
      </c>
      <c r="D28" s="130">
        <v>-691000</v>
      </c>
      <c r="E28" s="130">
        <f t="shared" si="0"/>
        <v>1381000</v>
      </c>
      <c r="F28" s="131"/>
      <c r="G28" s="112">
        <v>113</v>
      </c>
      <c r="H28" s="133">
        <v>43000</v>
      </c>
      <c r="I28" s="133">
        <v>-14000</v>
      </c>
      <c r="J28" s="130">
        <f t="shared" si="4"/>
        <v>29000</v>
      </c>
      <c r="K28" s="131"/>
      <c r="L28" s="133">
        <f t="shared" si="1"/>
        <v>7613</v>
      </c>
      <c r="M28" s="133"/>
      <c r="N28" s="112">
        <f t="shared" si="2"/>
        <v>2115000</v>
      </c>
      <c r="O28" s="112"/>
      <c r="P28" s="112">
        <f t="shared" si="3"/>
        <v>-705000</v>
      </c>
      <c r="Q28" s="112"/>
      <c r="R28" s="130">
        <f t="shared" si="5"/>
        <v>1410000</v>
      </c>
      <c r="S28" s="135"/>
      <c r="T28" s="135"/>
    </row>
    <row r="29" spans="1:20" ht="15">
      <c r="A29" s="90" t="s">
        <v>21</v>
      </c>
      <c r="B29" s="130">
        <v>7090</v>
      </c>
      <c r="C29" s="130">
        <f>2003000+141000</f>
        <v>2144000</v>
      </c>
      <c r="D29" s="130">
        <f>-668000-47000</f>
        <v>-715000</v>
      </c>
      <c r="E29" s="130">
        <f t="shared" si="0"/>
        <v>1429000</v>
      </c>
      <c r="F29" s="131"/>
      <c r="G29" s="112">
        <v>84</v>
      </c>
      <c r="H29" s="133">
        <v>22000</v>
      </c>
      <c r="I29" s="133">
        <v>-7000</v>
      </c>
      <c r="J29" s="130">
        <f t="shared" si="4"/>
        <v>15000</v>
      </c>
      <c r="K29" s="131"/>
      <c r="L29" s="133">
        <f t="shared" si="1"/>
        <v>7174</v>
      </c>
      <c r="M29" s="133"/>
      <c r="N29" s="112">
        <f t="shared" si="2"/>
        <v>2166000</v>
      </c>
      <c r="O29" s="112"/>
      <c r="P29" s="112">
        <f>D29+I29</f>
        <v>-722000</v>
      </c>
      <c r="Q29" s="112"/>
      <c r="R29" s="130">
        <f t="shared" si="5"/>
        <v>1444000</v>
      </c>
      <c r="S29" s="135"/>
      <c r="T29" s="135"/>
    </row>
    <row r="30" spans="1:20" ht="9" customHeight="1">
      <c r="A30" s="90"/>
      <c r="B30" s="130"/>
      <c r="C30" s="136"/>
      <c r="D30" s="130"/>
      <c r="E30" s="137"/>
      <c r="F30" s="131"/>
      <c r="G30" s="131"/>
      <c r="H30" s="131"/>
      <c r="I30" s="131"/>
      <c r="J30" s="137"/>
      <c r="K30" s="131"/>
      <c r="L30" s="133"/>
      <c r="M30" s="131"/>
      <c r="N30" s="112"/>
      <c r="O30" s="112"/>
      <c r="P30" s="112"/>
      <c r="Q30" s="112"/>
      <c r="R30" s="137"/>
      <c r="S30" s="135"/>
      <c r="T30" s="135"/>
    </row>
    <row r="31" spans="1:20" ht="15">
      <c r="A31" s="91" t="s">
        <v>22</v>
      </c>
      <c r="B31" s="138">
        <f>SUM(B7:B30)</f>
        <v>341527</v>
      </c>
      <c r="C31" s="127">
        <f>SUM(C7:C30)</f>
        <v>107254000</v>
      </c>
      <c r="D31" s="127">
        <f>SUM(D7:D30)</f>
        <v>-35751000</v>
      </c>
      <c r="E31" s="127">
        <f>SUM(E7:E30)</f>
        <v>71503000</v>
      </c>
      <c r="F31" s="131"/>
      <c r="G31" s="138">
        <f>SUM(G7:G30)</f>
        <v>13144</v>
      </c>
      <c r="H31" s="127">
        <f>SUM(H7:H30)</f>
        <v>4153000</v>
      </c>
      <c r="I31" s="127">
        <f>SUM(I7:I30)</f>
        <v>-1386000</v>
      </c>
      <c r="J31" s="127">
        <f>SUM(J7:J30)</f>
        <v>2767000</v>
      </c>
      <c r="K31" s="129"/>
      <c r="L31" s="138">
        <f>SUM(L7:L30)</f>
        <v>354671</v>
      </c>
      <c r="M31" s="127"/>
      <c r="N31" s="127">
        <f>SUM(N7:N30)</f>
        <v>111407000</v>
      </c>
      <c r="O31" s="138"/>
      <c r="P31" s="127">
        <f>SUM(P7:P30)</f>
        <v>-37137000</v>
      </c>
      <c r="Q31" s="138"/>
      <c r="R31" s="127">
        <f>SUM(R7:R30)</f>
        <v>74270000</v>
      </c>
      <c r="S31" s="135"/>
      <c r="T31" s="135"/>
    </row>
    <row r="32" spans="1:20" ht="9" customHeight="1">
      <c r="A32" s="90"/>
      <c r="B32" s="130"/>
      <c r="C32" s="130"/>
      <c r="D32" s="130"/>
      <c r="E32" s="137"/>
      <c r="F32" s="131"/>
      <c r="G32" s="131"/>
      <c r="H32" s="131"/>
      <c r="I32" s="131"/>
      <c r="J32" s="137"/>
      <c r="K32" s="131"/>
      <c r="L32" s="133"/>
      <c r="M32" s="131"/>
      <c r="N32" s="112"/>
      <c r="O32" s="112"/>
      <c r="P32" s="112"/>
      <c r="Q32" s="112"/>
      <c r="R32" s="137"/>
      <c r="S32" s="135"/>
      <c r="T32" s="135"/>
    </row>
    <row r="33" spans="1:20" ht="15">
      <c r="A33" s="90" t="s">
        <v>23</v>
      </c>
      <c r="B33" s="130">
        <v>0</v>
      </c>
      <c r="C33" s="130">
        <v>0</v>
      </c>
      <c r="D33" s="130">
        <v>0</v>
      </c>
      <c r="E33" s="130">
        <f>SUM(C33:D33)</f>
        <v>0</v>
      </c>
      <c r="F33" s="131"/>
      <c r="G33" s="131">
        <v>0</v>
      </c>
      <c r="H33" s="133">
        <v>0</v>
      </c>
      <c r="I33" s="133"/>
      <c r="J33" s="130">
        <f>SUM(H33:I33)</f>
        <v>0</v>
      </c>
      <c r="K33" s="131"/>
      <c r="L33" s="133">
        <f>B33+G33</f>
        <v>0</v>
      </c>
      <c r="M33" s="133"/>
      <c r="N33" s="112">
        <f>C33+H33</f>
        <v>0</v>
      </c>
      <c r="O33" s="112"/>
      <c r="P33" s="112">
        <f>D33+I33</f>
        <v>0</v>
      </c>
      <c r="Q33" s="112"/>
      <c r="R33" s="130">
        <f>SUM(N33:P33)</f>
        <v>0</v>
      </c>
      <c r="S33" s="135"/>
      <c r="T33" s="135"/>
    </row>
    <row r="34" spans="1:20" ht="15">
      <c r="A34" s="90" t="s">
        <v>47</v>
      </c>
      <c r="B34" s="130">
        <v>650</v>
      </c>
      <c r="C34" s="130">
        <v>-87000</v>
      </c>
      <c r="D34" s="130">
        <v>29000</v>
      </c>
      <c r="E34" s="130">
        <f>SUM(C34:D34)</f>
        <v>-58000</v>
      </c>
      <c r="F34" s="131"/>
      <c r="G34" s="131">
        <v>1</v>
      </c>
      <c r="H34" s="133">
        <v>4000</v>
      </c>
      <c r="I34" s="133">
        <v>-1000</v>
      </c>
      <c r="J34" s="130">
        <f>SUM(H34:I34)</f>
        <v>3000</v>
      </c>
      <c r="K34" s="131"/>
      <c r="L34" s="133">
        <f>B34+G34</f>
        <v>651</v>
      </c>
      <c r="M34" s="133"/>
      <c r="N34" s="112">
        <f>C34+H34</f>
        <v>-83000</v>
      </c>
      <c r="O34" s="112"/>
      <c r="P34" s="112">
        <f>D34+I34</f>
        <v>28000</v>
      </c>
      <c r="Q34" s="112"/>
      <c r="R34" s="130">
        <f>SUM(N34:P34)</f>
        <v>-55000</v>
      </c>
      <c r="S34" s="135"/>
      <c r="T34" s="135"/>
    </row>
    <row r="35" spans="1:20" ht="15">
      <c r="A35" s="90" t="s">
        <v>24</v>
      </c>
      <c r="B35" s="130">
        <v>665</v>
      </c>
      <c r="C35" s="130">
        <v>162000</v>
      </c>
      <c r="D35" s="130">
        <v>-54000</v>
      </c>
      <c r="E35" s="130">
        <f>SUM(C35:D35)</f>
        <v>108000</v>
      </c>
      <c r="F35" s="131"/>
      <c r="G35" s="131">
        <v>8</v>
      </c>
      <c r="H35" s="133">
        <v>-6000</v>
      </c>
      <c r="I35" s="133">
        <v>2000</v>
      </c>
      <c r="J35" s="130">
        <f>SUM(H35:I35)</f>
        <v>-4000</v>
      </c>
      <c r="K35" s="131"/>
      <c r="L35" s="133">
        <f>B35+G35</f>
        <v>673</v>
      </c>
      <c r="M35" s="133"/>
      <c r="N35" s="112">
        <f>C35+H35</f>
        <v>156000</v>
      </c>
      <c r="O35" s="112"/>
      <c r="P35" s="112">
        <f>D35+I35</f>
        <v>-52000</v>
      </c>
      <c r="Q35" s="112"/>
      <c r="R35" s="130">
        <f>SUM(N35:P35)</f>
        <v>104000</v>
      </c>
      <c r="S35" s="135"/>
      <c r="T35" s="135"/>
    </row>
    <row r="36" spans="1:20" ht="15">
      <c r="A36" s="90" t="s">
        <v>25</v>
      </c>
      <c r="B36" s="130">
        <v>51</v>
      </c>
      <c r="C36" s="130">
        <v>47000</v>
      </c>
      <c r="D36" s="130">
        <f>-16000</f>
        <v>-16000</v>
      </c>
      <c r="E36" s="130">
        <f>SUM(C36:D36)</f>
        <v>31000</v>
      </c>
      <c r="F36" s="131"/>
      <c r="G36" s="131">
        <v>4</v>
      </c>
      <c r="H36" s="133">
        <v>-8000</v>
      </c>
      <c r="I36" s="133">
        <v>3000</v>
      </c>
      <c r="J36" s="130">
        <f>SUM(H36:I36)</f>
        <v>-5000</v>
      </c>
      <c r="K36" s="131"/>
      <c r="L36" s="133">
        <f>B36+G36</f>
        <v>55</v>
      </c>
      <c r="M36" s="133"/>
      <c r="N36" s="112">
        <f>C36+H36</f>
        <v>39000</v>
      </c>
      <c r="O36" s="112"/>
      <c r="P36" s="112">
        <f>D36+I36</f>
        <v>-13000</v>
      </c>
      <c r="Q36" s="112"/>
      <c r="R36" s="130">
        <f>SUM(N36:P36)</f>
        <v>26000</v>
      </c>
      <c r="S36" s="135"/>
      <c r="T36" s="135"/>
    </row>
    <row r="37" spans="1:20" ht="15">
      <c r="A37" s="90" t="s">
        <v>26</v>
      </c>
      <c r="B37" s="130">
        <v>0</v>
      </c>
      <c r="C37" s="130">
        <v>0</v>
      </c>
      <c r="D37" s="130">
        <v>0</v>
      </c>
      <c r="E37" s="130">
        <f>SUM(C37:D37)</f>
        <v>0</v>
      </c>
      <c r="F37" s="131"/>
      <c r="G37" s="131">
        <v>0</v>
      </c>
      <c r="H37" s="133">
        <v>0</v>
      </c>
      <c r="I37" s="133">
        <v>0</v>
      </c>
      <c r="J37" s="130">
        <f>SUM(H37:I37)</f>
        <v>0</v>
      </c>
      <c r="K37" s="131"/>
      <c r="L37" s="133">
        <f>B37+G37</f>
        <v>0</v>
      </c>
      <c r="M37" s="131"/>
      <c r="N37" s="112">
        <f>C37+H37</f>
        <v>0</v>
      </c>
      <c r="O37" s="112"/>
      <c r="P37" s="112">
        <f>D37+I37</f>
        <v>0</v>
      </c>
      <c r="Q37" s="112"/>
      <c r="R37" s="130">
        <f>SUM(N37:P37)</f>
        <v>0</v>
      </c>
      <c r="S37" s="135"/>
      <c r="T37" s="135"/>
    </row>
    <row r="38" spans="1:20" ht="9" customHeight="1">
      <c r="A38" s="90"/>
      <c r="B38" s="130"/>
      <c r="C38" s="130"/>
      <c r="D38" s="130"/>
      <c r="E38" s="137"/>
      <c r="F38" s="131"/>
      <c r="G38" s="131"/>
      <c r="H38" s="131"/>
      <c r="I38" s="131"/>
      <c r="J38" s="137"/>
      <c r="K38" s="131"/>
      <c r="L38" s="131"/>
      <c r="M38" s="131"/>
      <c r="N38" s="112"/>
      <c r="O38" s="112"/>
      <c r="P38" s="112"/>
      <c r="Q38" s="112"/>
      <c r="R38" s="137"/>
      <c r="S38" s="135"/>
      <c r="T38" s="135"/>
    </row>
    <row r="39" spans="1:20" ht="15.75" thickBot="1">
      <c r="A39" s="92" t="s">
        <v>27</v>
      </c>
      <c r="B39" s="139">
        <f>SUM(B31:B37)</f>
        <v>342893</v>
      </c>
      <c r="C39" s="140">
        <f>SUM(C31:C37)</f>
        <v>107376000</v>
      </c>
      <c r="D39" s="140">
        <f>SUM(D31:D37)</f>
        <v>-35792000</v>
      </c>
      <c r="E39" s="140">
        <f>SUM(E31:E37)</f>
        <v>71584000</v>
      </c>
      <c r="F39" s="131"/>
      <c r="G39" s="139">
        <f>SUM(G31:G37)</f>
        <v>13157</v>
      </c>
      <c r="H39" s="140">
        <f>SUM(H31:H37)</f>
        <v>4143000</v>
      </c>
      <c r="I39" s="140">
        <f>SUM(I31:I37)</f>
        <v>-1382000</v>
      </c>
      <c r="J39" s="140">
        <f>SUM(J31:J37)</f>
        <v>2761000</v>
      </c>
      <c r="K39" s="129"/>
      <c r="L39" s="139">
        <f>SUM(L31:L37)</f>
        <v>356050</v>
      </c>
      <c r="M39" s="140"/>
      <c r="N39" s="140">
        <f>SUM(N31:N37)</f>
        <v>111519000</v>
      </c>
      <c r="O39" s="139"/>
      <c r="P39" s="140">
        <f>SUM(P31:P37)</f>
        <v>-37174000</v>
      </c>
      <c r="Q39" s="139"/>
      <c r="R39" s="140">
        <f>SUM(R31:R37)</f>
        <v>74345000</v>
      </c>
      <c r="S39" s="135"/>
      <c r="T39" s="135"/>
    </row>
    <row r="40" spans="1:20" ht="15">
      <c r="A40" s="93"/>
      <c r="B40" s="141"/>
      <c r="C40" s="141"/>
      <c r="D40" s="141"/>
      <c r="E40" s="142"/>
      <c r="F40" s="131"/>
      <c r="G40" s="131"/>
      <c r="H40" s="131"/>
      <c r="I40" s="131"/>
      <c r="J40" s="141"/>
      <c r="K40" s="131"/>
      <c r="L40" s="133"/>
      <c r="M40" s="133"/>
      <c r="N40" s="112"/>
      <c r="O40" s="135"/>
      <c r="P40" s="135"/>
      <c r="Q40" s="135"/>
      <c r="R40" s="135"/>
      <c r="S40" s="135"/>
      <c r="T40" s="135"/>
    </row>
    <row r="41" spans="1:20" ht="18">
      <c r="A41" s="111" t="s">
        <v>162</v>
      </c>
      <c r="B41" s="141"/>
      <c r="C41" s="141"/>
      <c r="D41" s="141"/>
      <c r="E41" s="142"/>
      <c r="F41" s="131"/>
      <c r="G41" s="131"/>
      <c r="H41" s="131"/>
      <c r="I41" s="131"/>
      <c r="J41" s="141"/>
      <c r="K41" s="131"/>
      <c r="L41" s="133"/>
      <c r="M41" s="133"/>
      <c r="N41" s="112"/>
      <c r="O41" s="135"/>
      <c r="P41" s="135"/>
      <c r="Q41" s="135"/>
      <c r="R41" s="135"/>
      <c r="S41" s="135"/>
      <c r="T41" s="135"/>
    </row>
    <row r="42" spans="1:20" ht="20.25" customHeight="1">
      <c r="A42" s="111" t="s">
        <v>161</v>
      </c>
      <c r="B42" s="95"/>
      <c r="C42" s="96"/>
      <c r="D42" s="96"/>
      <c r="E42" s="96"/>
      <c r="F42" s="108"/>
      <c r="G42" s="96"/>
      <c r="H42" s="96"/>
      <c r="I42" s="96"/>
      <c r="J42" s="96"/>
      <c r="K42" s="108"/>
      <c r="L42" s="96"/>
      <c r="M42" s="131"/>
      <c r="N42" s="112"/>
      <c r="O42" s="135"/>
      <c r="P42" s="135"/>
      <c r="Q42" s="135"/>
      <c r="R42" s="135"/>
      <c r="S42" s="135"/>
      <c r="T42" s="135"/>
    </row>
    <row r="43" spans="1:20" ht="15">
      <c r="A43" s="49"/>
      <c r="B43" s="112"/>
      <c r="C43" s="143"/>
      <c r="D43" s="143"/>
      <c r="E43" s="143"/>
      <c r="F43" s="144"/>
      <c r="G43" s="143"/>
      <c r="H43" s="143"/>
      <c r="I43" s="143"/>
      <c r="J43" s="112"/>
      <c r="K43" s="130"/>
      <c r="L43" s="112"/>
      <c r="M43" s="130"/>
      <c r="N43" s="112"/>
      <c r="O43" s="135"/>
      <c r="P43" s="135"/>
      <c r="Q43" s="135"/>
      <c r="R43" s="135"/>
      <c r="S43" s="135"/>
      <c r="T43" s="135"/>
    </row>
    <row r="44" spans="1:20" ht="15">
      <c r="A44" s="49"/>
      <c r="B44" s="112"/>
      <c r="C44" s="143"/>
      <c r="D44" s="143"/>
      <c r="E44" s="143"/>
      <c r="F44" s="144"/>
      <c r="G44" s="143"/>
      <c r="H44" s="143"/>
      <c r="I44" s="143"/>
      <c r="J44" s="112"/>
      <c r="K44" s="130"/>
      <c r="L44" s="112"/>
      <c r="M44" s="130"/>
      <c r="N44" s="112"/>
      <c r="O44" s="135"/>
      <c r="P44" s="135"/>
      <c r="Q44" s="135"/>
      <c r="R44" s="135"/>
      <c r="S44" s="135"/>
      <c r="T44" s="135"/>
    </row>
    <row r="45" spans="1:20" ht="15">
      <c r="A45" s="49"/>
      <c r="B45" s="112"/>
      <c r="C45" s="143"/>
      <c r="D45" s="143"/>
      <c r="E45" s="143"/>
      <c r="F45" s="144"/>
      <c r="G45" s="143"/>
      <c r="H45" s="143"/>
      <c r="I45" s="143"/>
      <c r="J45" s="112"/>
      <c r="K45" s="130"/>
      <c r="L45" s="112"/>
      <c r="M45" s="130"/>
      <c r="N45" s="112"/>
      <c r="O45" s="135"/>
      <c r="P45" s="135"/>
      <c r="Q45" s="135"/>
      <c r="R45" s="135"/>
      <c r="S45" s="135"/>
      <c r="T45" s="135"/>
    </row>
    <row r="46" spans="1:20" ht="15">
      <c r="A46" s="49"/>
      <c r="B46" s="112"/>
      <c r="C46" s="143"/>
      <c r="D46" s="143"/>
      <c r="E46" s="143"/>
      <c r="F46" s="144"/>
      <c r="G46" s="143"/>
      <c r="H46" s="143"/>
      <c r="I46" s="143"/>
      <c r="J46" s="112"/>
      <c r="K46" s="130"/>
      <c r="L46" s="112"/>
      <c r="M46" s="130"/>
      <c r="N46" s="112"/>
      <c r="O46" s="135"/>
      <c r="P46" s="135"/>
      <c r="Q46" s="135"/>
      <c r="R46" s="135"/>
      <c r="S46" s="135"/>
      <c r="T46" s="135"/>
    </row>
    <row r="47" spans="1:20" ht="15">
      <c r="A47" s="49"/>
      <c r="B47" s="112"/>
      <c r="C47" s="143"/>
      <c r="D47" s="143"/>
      <c r="E47" s="143"/>
      <c r="F47" s="144"/>
      <c r="G47" s="143"/>
      <c r="H47" s="143"/>
      <c r="I47" s="143"/>
      <c r="J47" s="112"/>
      <c r="K47" s="130"/>
      <c r="L47" s="112"/>
      <c r="M47" s="130"/>
      <c r="N47" s="112"/>
      <c r="O47" s="135"/>
      <c r="P47" s="135"/>
      <c r="Q47" s="135"/>
      <c r="R47" s="135"/>
      <c r="S47" s="135"/>
      <c r="T47" s="135"/>
    </row>
    <row r="48" spans="1:20" ht="15">
      <c r="A48" s="49"/>
      <c r="B48" s="112"/>
      <c r="C48" s="143"/>
      <c r="D48" s="143"/>
      <c r="E48" s="143"/>
      <c r="F48" s="144"/>
      <c r="G48" s="143"/>
      <c r="H48" s="143"/>
      <c r="I48" s="143"/>
      <c r="J48" s="112"/>
      <c r="K48" s="130"/>
      <c r="L48" s="112"/>
      <c r="M48" s="130"/>
      <c r="N48" s="112"/>
      <c r="O48" s="135"/>
      <c r="P48" s="135"/>
      <c r="Q48" s="135"/>
      <c r="R48" s="135"/>
      <c r="S48" s="135"/>
      <c r="T48" s="135"/>
    </row>
    <row r="49" spans="1:20" ht="15">
      <c r="A49" s="49"/>
      <c r="B49" s="112"/>
      <c r="C49" s="143"/>
      <c r="D49" s="143"/>
      <c r="E49" s="143"/>
      <c r="F49" s="144"/>
      <c r="G49" s="143"/>
      <c r="H49" s="143"/>
      <c r="I49" s="143"/>
      <c r="J49" s="112"/>
      <c r="K49" s="130"/>
      <c r="L49" s="112"/>
      <c r="M49" s="130"/>
      <c r="N49" s="112"/>
      <c r="O49" s="135"/>
      <c r="P49" s="135"/>
      <c r="Q49" s="135"/>
      <c r="R49" s="135"/>
      <c r="S49" s="135"/>
      <c r="T49" s="135"/>
    </row>
    <row r="50" spans="1:20" ht="15">
      <c r="A50" s="49"/>
      <c r="B50" s="112"/>
      <c r="C50" s="143"/>
      <c r="D50" s="143"/>
      <c r="E50" s="143"/>
      <c r="F50" s="144"/>
      <c r="G50" s="143"/>
      <c r="H50" s="143"/>
      <c r="I50" s="143"/>
      <c r="J50" s="112"/>
      <c r="K50" s="130"/>
      <c r="L50" s="112"/>
      <c r="M50" s="130"/>
      <c r="N50" s="112"/>
      <c r="O50" s="135"/>
      <c r="P50" s="135"/>
      <c r="Q50" s="135"/>
      <c r="R50" s="135"/>
      <c r="S50" s="135"/>
      <c r="T50" s="135"/>
    </row>
    <row r="51" spans="1:20" ht="15">
      <c r="A51" s="49"/>
      <c r="B51" s="112"/>
      <c r="C51" s="143"/>
      <c r="D51" s="143"/>
      <c r="E51" s="143"/>
      <c r="F51" s="144"/>
      <c r="G51" s="143"/>
      <c r="H51" s="143"/>
      <c r="I51" s="143"/>
      <c r="J51" s="112"/>
      <c r="K51" s="130"/>
      <c r="L51" s="112"/>
      <c r="M51" s="130"/>
      <c r="N51" s="112"/>
      <c r="O51" s="135"/>
      <c r="P51" s="135"/>
      <c r="Q51" s="135"/>
      <c r="R51" s="135"/>
      <c r="S51" s="135"/>
      <c r="T51" s="135"/>
    </row>
    <row r="52" spans="1:20" ht="15">
      <c r="A52" s="49"/>
      <c r="B52" s="112"/>
      <c r="C52" s="143"/>
      <c r="D52" s="143"/>
      <c r="E52" s="143"/>
      <c r="F52" s="144"/>
      <c r="G52" s="143"/>
      <c r="H52" s="143"/>
      <c r="I52" s="143"/>
      <c r="J52" s="112"/>
      <c r="K52" s="130"/>
      <c r="L52" s="112"/>
      <c r="M52" s="130"/>
      <c r="N52" s="112"/>
      <c r="O52" s="135"/>
      <c r="P52" s="135"/>
      <c r="Q52" s="135"/>
      <c r="R52" s="135"/>
      <c r="S52" s="135"/>
      <c r="T52" s="135"/>
    </row>
    <row r="53" spans="1:14" ht="15">
      <c r="A53" s="49"/>
      <c r="B53" s="49"/>
      <c r="D53" s="94"/>
      <c r="E53" s="94"/>
      <c r="F53" s="109"/>
      <c r="G53" s="94"/>
      <c r="H53" s="94"/>
      <c r="I53" s="94"/>
      <c r="J53" s="49"/>
      <c r="K53" s="90"/>
      <c r="L53" s="49"/>
      <c r="M53" s="90"/>
      <c r="N53" s="49"/>
    </row>
    <row r="54" spans="1:14" ht="15">
      <c r="A54" s="49"/>
      <c r="B54" s="49"/>
      <c r="D54" s="94"/>
      <c r="E54" s="94"/>
      <c r="F54" s="109"/>
      <c r="G54" s="94"/>
      <c r="H54" s="94"/>
      <c r="I54" s="94"/>
      <c r="J54" s="49"/>
      <c r="K54" s="90"/>
      <c r="L54" s="49"/>
      <c r="M54" s="90"/>
      <c r="N54" s="49"/>
    </row>
  </sheetData>
  <sheetProtection/>
  <mergeCells count="2">
    <mergeCell ref="B4:E4"/>
    <mergeCell ref="L4:R4"/>
  </mergeCells>
  <printOptions/>
  <pageMargins left="1" right="0.5" top="0.5" bottom="0.25" header="0.5" footer="0.5"/>
  <pageSetup fitToHeight="1" fitToWidth="1" horizontalDpi="600" verticalDpi="600" orientation="landscape" paperSize="5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36" sqref="J36"/>
    </sheetView>
  </sheetViews>
  <sheetFormatPr defaultColWidth="9.33203125" defaultRowHeight="12.75"/>
  <cols>
    <col min="1" max="1" width="3.83203125" style="192" customWidth="1"/>
    <col min="2" max="2" width="8.33203125" style="191" bestFit="1" customWidth="1"/>
    <col min="3" max="3" width="20.5" style="192" bestFit="1" customWidth="1"/>
    <col min="4" max="4" width="14" style="192" bestFit="1" customWidth="1"/>
    <col min="5" max="5" width="9.83203125" style="192" bestFit="1" customWidth="1"/>
    <col min="6" max="6" width="14" style="192" bestFit="1" customWidth="1"/>
    <col min="7" max="7" width="9.83203125" style="191" bestFit="1" customWidth="1"/>
    <col min="8" max="8" width="14" style="192" bestFit="1" customWidth="1"/>
    <col min="9" max="9" width="11" style="192" bestFit="1" customWidth="1"/>
    <col min="10" max="10" width="14" style="192" bestFit="1" customWidth="1"/>
    <col min="11" max="11" width="11" style="192" bestFit="1" customWidth="1"/>
    <col min="12" max="12" width="15.83203125" style="192" customWidth="1"/>
    <col min="13" max="13" width="13.5" style="192" customWidth="1"/>
    <col min="14" max="14" width="16.16015625" style="192" customWidth="1"/>
    <col min="15" max="16384" width="9.33203125" style="192" customWidth="1"/>
  </cols>
  <sheetData>
    <row r="1" ht="16.5">
      <c r="A1" s="190" t="s">
        <v>101</v>
      </c>
    </row>
    <row r="2" ht="19.5">
      <c r="A2" s="161"/>
    </row>
    <row r="3" spans="1:10" ht="15.75">
      <c r="A3" s="193"/>
      <c r="D3" s="194">
        <v>-1</v>
      </c>
      <c r="E3" s="194"/>
      <c r="F3" s="194"/>
      <c r="G3" s="194"/>
      <c r="H3" s="194"/>
      <c r="I3" s="194"/>
      <c r="J3" s="194">
        <v>-2</v>
      </c>
    </row>
    <row r="4" spans="2:12" ht="12.75">
      <c r="B4" s="195"/>
      <c r="C4" s="196"/>
      <c r="D4" s="197"/>
      <c r="E4" s="197"/>
      <c r="F4" s="264" t="s">
        <v>102</v>
      </c>
      <c r="G4" s="265"/>
      <c r="H4" s="265"/>
      <c r="I4" s="265"/>
      <c r="J4" s="265"/>
      <c r="K4" s="265"/>
      <c r="L4" s="266"/>
    </row>
    <row r="5" spans="2:12" s="198" customFormat="1" ht="51.75" thickBot="1">
      <c r="B5" s="199" t="s">
        <v>103</v>
      </c>
      <c r="C5" s="200"/>
      <c r="D5" s="201" t="s">
        <v>104</v>
      </c>
      <c r="E5" s="201"/>
      <c r="F5" s="267" t="s">
        <v>105</v>
      </c>
      <c r="G5" s="268"/>
      <c r="H5" s="202" t="s">
        <v>106</v>
      </c>
      <c r="I5" s="203"/>
      <c r="J5" s="269" t="s">
        <v>107</v>
      </c>
      <c r="K5" s="269"/>
      <c r="L5" s="204" t="s">
        <v>108</v>
      </c>
    </row>
    <row r="6" spans="2:12" ht="12.75">
      <c r="B6" s="205"/>
      <c r="D6" s="206"/>
      <c r="E6" s="207"/>
      <c r="F6" s="270" t="s">
        <v>109</v>
      </c>
      <c r="G6" s="271"/>
      <c r="H6" s="208" t="s">
        <v>109</v>
      </c>
      <c r="I6" s="209"/>
      <c r="J6" s="272"/>
      <c r="K6" s="273"/>
      <c r="L6" s="210"/>
    </row>
    <row r="7" spans="2:12" ht="12.75">
      <c r="B7" s="205"/>
      <c r="C7" s="192" t="s">
        <v>110</v>
      </c>
      <c r="D7" s="191" t="s">
        <v>111</v>
      </c>
      <c r="E7" s="191" t="s">
        <v>112</v>
      </c>
      <c r="F7" s="211" t="s">
        <v>113</v>
      </c>
      <c r="G7" s="212" t="s">
        <v>112</v>
      </c>
      <c r="H7" s="211" t="s">
        <v>113</v>
      </c>
      <c r="I7" s="191" t="s">
        <v>112</v>
      </c>
      <c r="J7" s="213" t="s">
        <v>113</v>
      </c>
      <c r="K7" s="214" t="s">
        <v>112</v>
      </c>
      <c r="L7" s="215"/>
    </row>
    <row r="8" spans="1:12" ht="15">
      <c r="A8" s="216"/>
      <c r="B8" s="217"/>
      <c r="C8" s="216"/>
      <c r="D8" s="216"/>
      <c r="E8" s="216"/>
      <c r="F8" s="218"/>
      <c r="G8" s="219"/>
      <c r="H8" s="218"/>
      <c r="I8" s="220"/>
      <c r="J8" s="218"/>
      <c r="K8" s="219"/>
      <c r="L8" s="221" t="s">
        <v>114</v>
      </c>
    </row>
    <row r="9" spans="1:13" ht="15">
      <c r="A9" s="216"/>
      <c r="B9" s="222" t="s">
        <v>115</v>
      </c>
      <c r="C9" s="216" t="s">
        <v>116</v>
      </c>
      <c r="D9" s="223">
        <v>6748200</v>
      </c>
      <c r="E9" s="224">
        <f aca="true" t="shared" si="0" ref="E9:E31">D9/$D$33</f>
        <v>0.024405</v>
      </c>
      <c r="F9" s="225">
        <v>7917100</v>
      </c>
      <c r="G9" s="224">
        <f aca="true" t="shared" si="1" ref="G9:G31">F9/$F$33</f>
        <v>0.023102</v>
      </c>
      <c r="H9" s="226">
        <v>8005600</v>
      </c>
      <c r="I9" s="227">
        <f aca="true" t="shared" si="2" ref="I9:I31">H9/$H$33</f>
        <v>0.0229003</v>
      </c>
      <c r="J9" s="226">
        <v>7183400</v>
      </c>
      <c r="K9" s="228">
        <f aca="true" t="shared" si="3" ref="K9:K31">I9</f>
        <v>0.0229003</v>
      </c>
      <c r="L9" s="229">
        <f aca="true" t="shared" si="4" ref="L9:L31">J9-D9</f>
        <v>435200</v>
      </c>
      <c r="M9" s="230"/>
    </row>
    <row r="10" spans="1:13" ht="15">
      <c r="A10" s="216"/>
      <c r="B10" s="222">
        <v>73</v>
      </c>
      <c r="C10" s="216" t="s">
        <v>1</v>
      </c>
      <c r="D10" s="231">
        <v>1607300</v>
      </c>
      <c r="E10" s="224">
        <f t="shared" si="0"/>
        <v>0.005813</v>
      </c>
      <c r="F10" s="230">
        <v>2079100</v>
      </c>
      <c r="G10" s="224">
        <f t="shared" si="1"/>
        <v>0.006067</v>
      </c>
      <c r="H10" s="230">
        <v>2212400</v>
      </c>
      <c r="I10" s="227">
        <f t="shared" si="2"/>
        <v>0.0063286</v>
      </c>
      <c r="J10" s="230">
        <v>1985200</v>
      </c>
      <c r="K10" s="228">
        <f t="shared" si="3"/>
        <v>0.0063286</v>
      </c>
      <c r="L10" s="232">
        <f t="shared" si="4"/>
        <v>377900</v>
      </c>
      <c r="M10" s="230"/>
    </row>
    <row r="11" spans="1:13" ht="15">
      <c r="A11" s="216"/>
      <c r="B11" s="222" t="s">
        <v>117</v>
      </c>
      <c r="C11" s="216" t="s">
        <v>118</v>
      </c>
      <c r="D11" s="231">
        <v>10503100</v>
      </c>
      <c r="E11" s="224">
        <f t="shared" si="0"/>
        <v>0.037985</v>
      </c>
      <c r="F11" s="230">
        <v>12632500</v>
      </c>
      <c r="G11" s="224">
        <f t="shared" si="1"/>
        <v>0.036862</v>
      </c>
      <c r="H11" s="230">
        <v>12699100</v>
      </c>
      <c r="I11" s="227">
        <f t="shared" si="2"/>
        <v>0.0363262</v>
      </c>
      <c r="J11" s="230">
        <v>11394800</v>
      </c>
      <c r="K11" s="228">
        <f t="shared" si="3"/>
        <v>0.0363262</v>
      </c>
      <c r="L11" s="232">
        <f t="shared" si="4"/>
        <v>891700</v>
      </c>
      <c r="M11" s="230"/>
    </row>
    <row r="12" spans="1:13" ht="15">
      <c r="A12" s="216"/>
      <c r="B12" s="222" t="s">
        <v>119</v>
      </c>
      <c r="C12" s="216" t="s">
        <v>120</v>
      </c>
      <c r="D12" s="231">
        <v>11567100</v>
      </c>
      <c r="E12" s="224">
        <f t="shared" si="0"/>
        <v>0.041833</v>
      </c>
      <c r="F12" s="230">
        <v>15017000</v>
      </c>
      <c r="G12" s="224">
        <f t="shared" si="1"/>
        <v>0.04382</v>
      </c>
      <c r="H12" s="230">
        <v>14542800</v>
      </c>
      <c r="I12" s="227">
        <f t="shared" si="2"/>
        <v>0.0416001</v>
      </c>
      <c r="J12" s="230">
        <v>13049200</v>
      </c>
      <c r="K12" s="228">
        <f t="shared" si="3"/>
        <v>0.0416001</v>
      </c>
      <c r="L12" s="232">
        <f t="shared" si="4"/>
        <v>1482100</v>
      </c>
      <c r="M12" s="230"/>
    </row>
    <row r="13" spans="1:13" ht="15">
      <c r="A13" s="216"/>
      <c r="B13" s="222" t="s">
        <v>121</v>
      </c>
      <c r="C13" s="216" t="s">
        <v>31</v>
      </c>
      <c r="D13" s="231">
        <v>9022400</v>
      </c>
      <c r="E13" s="224">
        <f t="shared" si="0"/>
        <v>0.03263</v>
      </c>
      <c r="F13" s="230">
        <v>10986200</v>
      </c>
      <c r="G13" s="224">
        <f t="shared" si="1"/>
        <v>0.032058</v>
      </c>
      <c r="H13" s="230">
        <v>10742400</v>
      </c>
      <c r="I13" s="227">
        <f t="shared" si="2"/>
        <v>0.030729</v>
      </c>
      <c r="J13" s="230">
        <v>9639100</v>
      </c>
      <c r="K13" s="228">
        <f t="shared" si="3"/>
        <v>0.030729</v>
      </c>
      <c r="L13" s="232">
        <f t="shared" si="4"/>
        <v>616700</v>
      </c>
      <c r="M13" s="230"/>
    </row>
    <row r="14" spans="1:13" ht="15">
      <c r="A14" s="216"/>
      <c r="B14" s="222" t="s">
        <v>122</v>
      </c>
      <c r="C14" s="216" t="s">
        <v>123</v>
      </c>
      <c r="D14" s="231">
        <v>16024200</v>
      </c>
      <c r="E14" s="224">
        <f t="shared" si="0"/>
        <v>0.057952</v>
      </c>
      <c r="F14" s="230">
        <v>19207300</v>
      </c>
      <c r="G14" s="224">
        <f t="shared" si="1"/>
        <v>0.056047</v>
      </c>
      <c r="H14" s="230">
        <v>20741000</v>
      </c>
      <c r="I14" s="227">
        <f t="shared" si="2"/>
        <v>0.0593302</v>
      </c>
      <c r="J14" s="230">
        <v>18610700</v>
      </c>
      <c r="K14" s="228">
        <f t="shared" si="3"/>
        <v>0.0593302</v>
      </c>
      <c r="L14" s="232">
        <f t="shared" si="4"/>
        <v>2586500</v>
      </c>
      <c r="M14" s="230"/>
    </row>
    <row r="15" spans="1:13" ht="15">
      <c r="A15" s="216"/>
      <c r="B15" s="222" t="s">
        <v>124</v>
      </c>
      <c r="C15" s="216" t="s">
        <v>125</v>
      </c>
      <c r="D15" s="231">
        <v>18841800</v>
      </c>
      <c r="E15" s="224">
        <f t="shared" si="0"/>
        <v>0.068142</v>
      </c>
      <c r="F15" s="230">
        <v>25450200</v>
      </c>
      <c r="G15" s="224">
        <f t="shared" si="1"/>
        <v>0.074264</v>
      </c>
      <c r="H15" s="230">
        <v>25974300</v>
      </c>
      <c r="I15" s="227">
        <f t="shared" si="2"/>
        <v>0.0743003</v>
      </c>
      <c r="J15" s="230">
        <v>23306600</v>
      </c>
      <c r="K15" s="228">
        <f t="shared" si="3"/>
        <v>0.0743003</v>
      </c>
      <c r="L15" s="232">
        <f t="shared" si="4"/>
        <v>4464800</v>
      </c>
      <c r="M15" s="230"/>
    </row>
    <row r="16" spans="1:13" ht="15">
      <c r="A16" s="216"/>
      <c r="B16" s="222" t="s">
        <v>126</v>
      </c>
      <c r="C16" s="216" t="s">
        <v>127</v>
      </c>
      <c r="D16" s="231">
        <v>7652900</v>
      </c>
      <c r="E16" s="224">
        <f t="shared" si="0"/>
        <v>0.027677</v>
      </c>
      <c r="F16" s="230">
        <v>9148300</v>
      </c>
      <c r="G16" s="224">
        <f t="shared" si="1"/>
        <v>0.026695</v>
      </c>
      <c r="H16" s="230">
        <v>9264000</v>
      </c>
      <c r="I16" s="227">
        <f t="shared" si="2"/>
        <v>0.0264999</v>
      </c>
      <c r="J16" s="230">
        <v>8312500</v>
      </c>
      <c r="K16" s="228">
        <f t="shared" si="3"/>
        <v>0.0264999</v>
      </c>
      <c r="L16" s="232">
        <f t="shared" si="4"/>
        <v>659600</v>
      </c>
      <c r="M16" s="230"/>
    </row>
    <row r="17" spans="1:13" ht="15">
      <c r="A17" s="216"/>
      <c r="B17" s="222" t="s">
        <v>128</v>
      </c>
      <c r="C17" s="216" t="s">
        <v>129</v>
      </c>
      <c r="D17" s="231">
        <v>23613700</v>
      </c>
      <c r="E17" s="224">
        <f t="shared" si="0"/>
        <v>0.0854</v>
      </c>
      <c r="F17" s="230">
        <v>30224000</v>
      </c>
      <c r="G17" s="224">
        <f t="shared" si="1"/>
        <v>0.088194</v>
      </c>
      <c r="H17" s="230">
        <v>30483900</v>
      </c>
      <c r="I17" s="227">
        <f t="shared" si="2"/>
        <v>0.0872001</v>
      </c>
      <c r="J17" s="230">
        <v>27353000</v>
      </c>
      <c r="K17" s="228">
        <f t="shared" si="3"/>
        <v>0.0872001</v>
      </c>
      <c r="L17" s="232">
        <f t="shared" si="4"/>
        <v>3739300</v>
      </c>
      <c r="M17" s="230"/>
    </row>
    <row r="18" spans="1:13" ht="15">
      <c r="A18" s="216"/>
      <c r="B18" s="222" t="s">
        <v>130</v>
      </c>
      <c r="C18" s="216" t="s">
        <v>131</v>
      </c>
      <c r="D18" s="231">
        <v>18657900</v>
      </c>
      <c r="E18" s="224">
        <f t="shared" si="0"/>
        <v>0.067477</v>
      </c>
      <c r="F18" s="230">
        <v>23349900</v>
      </c>
      <c r="G18" s="224">
        <f t="shared" si="1"/>
        <v>0.068135</v>
      </c>
      <c r="H18" s="230">
        <v>23575200</v>
      </c>
      <c r="I18" s="227">
        <f t="shared" si="2"/>
        <v>0.0674376</v>
      </c>
      <c r="J18" s="230">
        <v>21153900</v>
      </c>
      <c r="K18" s="228">
        <f t="shared" si="3"/>
        <v>0.0674376</v>
      </c>
      <c r="L18" s="232">
        <f t="shared" si="4"/>
        <v>2496000</v>
      </c>
      <c r="M18" s="230"/>
    </row>
    <row r="19" spans="1:13" ht="15">
      <c r="A19" s="216"/>
      <c r="B19" s="222" t="s">
        <v>132</v>
      </c>
      <c r="C19" s="216" t="s">
        <v>9</v>
      </c>
      <c r="D19" s="231">
        <v>366400</v>
      </c>
      <c r="E19" s="224">
        <f t="shared" si="0"/>
        <v>0.001325</v>
      </c>
      <c r="F19" s="230">
        <v>460300</v>
      </c>
      <c r="G19" s="224">
        <f t="shared" si="1"/>
        <v>0.001343</v>
      </c>
      <c r="H19" s="230">
        <v>478400</v>
      </c>
      <c r="I19" s="227">
        <f t="shared" si="2"/>
        <v>0.0013685</v>
      </c>
      <c r="J19" s="230">
        <v>429300</v>
      </c>
      <c r="K19" s="228">
        <f t="shared" si="3"/>
        <v>0.0013685</v>
      </c>
      <c r="L19" s="232">
        <f t="shared" si="4"/>
        <v>62900</v>
      </c>
      <c r="M19" s="230"/>
    </row>
    <row r="20" spans="1:13" ht="15">
      <c r="A20" s="216"/>
      <c r="B20" s="222" t="s">
        <v>133</v>
      </c>
      <c r="C20" s="216" t="s">
        <v>10</v>
      </c>
      <c r="D20" s="231">
        <v>2907800</v>
      </c>
      <c r="E20" s="224">
        <f t="shared" si="0"/>
        <v>0.010516</v>
      </c>
      <c r="F20" s="230">
        <v>3316000</v>
      </c>
      <c r="G20" s="224">
        <f t="shared" si="1"/>
        <v>0.009676</v>
      </c>
      <c r="H20" s="230">
        <v>3378400</v>
      </c>
      <c r="I20" s="227">
        <f t="shared" si="2"/>
        <v>0.009664</v>
      </c>
      <c r="J20" s="230">
        <v>3031400</v>
      </c>
      <c r="K20" s="228">
        <f t="shared" si="3"/>
        <v>0.009664</v>
      </c>
      <c r="L20" s="232">
        <f t="shared" si="4"/>
        <v>123600</v>
      </c>
      <c r="M20" s="230"/>
    </row>
    <row r="21" spans="1:13" ht="15">
      <c r="A21" s="216"/>
      <c r="B21" s="222" t="s">
        <v>134</v>
      </c>
      <c r="C21" s="216" t="s">
        <v>135</v>
      </c>
      <c r="D21" s="231">
        <v>24579600</v>
      </c>
      <c r="E21" s="224">
        <f t="shared" si="0"/>
        <v>0.088893</v>
      </c>
      <c r="F21" s="230">
        <v>29226900</v>
      </c>
      <c r="G21" s="224">
        <f t="shared" si="1"/>
        <v>0.085285</v>
      </c>
      <c r="H21" s="230">
        <v>30550200</v>
      </c>
      <c r="I21" s="227">
        <f t="shared" si="2"/>
        <v>0.0873898</v>
      </c>
      <c r="J21" s="230">
        <v>27412500</v>
      </c>
      <c r="K21" s="228">
        <f t="shared" si="3"/>
        <v>0.0873898</v>
      </c>
      <c r="L21" s="232">
        <f t="shared" si="4"/>
        <v>2832900</v>
      </c>
      <c r="M21" s="230"/>
    </row>
    <row r="22" spans="1:13" ht="15">
      <c r="A22" s="216"/>
      <c r="B22" s="222" t="s">
        <v>136</v>
      </c>
      <c r="C22" s="216" t="s">
        <v>137</v>
      </c>
      <c r="D22" s="231">
        <v>14420100</v>
      </c>
      <c r="E22" s="224">
        <f t="shared" si="0"/>
        <v>0.052151</v>
      </c>
      <c r="F22" s="230">
        <v>17552000</v>
      </c>
      <c r="G22" s="224">
        <f t="shared" si="1"/>
        <v>0.051217</v>
      </c>
      <c r="H22" s="230">
        <v>17754200</v>
      </c>
      <c r="I22" s="227">
        <f t="shared" si="2"/>
        <v>0.0507864</v>
      </c>
      <c r="J22" s="230">
        <v>15930700</v>
      </c>
      <c r="K22" s="228">
        <f t="shared" si="3"/>
        <v>0.0507864</v>
      </c>
      <c r="L22" s="232">
        <f t="shared" si="4"/>
        <v>1510600</v>
      </c>
      <c r="M22" s="230"/>
    </row>
    <row r="23" spans="1:13" ht="15">
      <c r="A23" s="216"/>
      <c r="B23" s="222" t="s">
        <v>138</v>
      </c>
      <c r="C23" s="216" t="s">
        <v>139</v>
      </c>
      <c r="D23" s="231">
        <v>17359100</v>
      </c>
      <c r="E23" s="224">
        <f t="shared" si="0"/>
        <v>0.06278</v>
      </c>
      <c r="F23" s="230">
        <v>22946100</v>
      </c>
      <c r="G23" s="224">
        <f t="shared" si="1"/>
        <v>0.066957</v>
      </c>
      <c r="H23" s="230">
        <v>22929600</v>
      </c>
      <c r="I23" s="227">
        <f t="shared" si="2"/>
        <v>0.0655908</v>
      </c>
      <c r="J23" s="230">
        <v>20574600</v>
      </c>
      <c r="K23" s="228">
        <f t="shared" si="3"/>
        <v>0.0655908</v>
      </c>
      <c r="L23" s="232">
        <f t="shared" si="4"/>
        <v>3215500</v>
      </c>
      <c r="M23" s="230"/>
    </row>
    <row r="24" spans="1:13" ht="15">
      <c r="A24" s="216"/>
      <c r="B24" s="222" t="s">
        <v>140</v>
      </c>
      <c r="C24" s="216" t="s">
        <v>141</v>
      </c>
      <c r="D24" s="231">
        <v>16475400</v>
      </c>
      <c r="E24" s="224">
        <f t="shared" si="0"/>
        <v>0.059584</v>
      </c>
      <c r="F24" s="230">
        <v>18840300</v>
      </c>
      <c r="G24" s="224">
        <f t="shared" si="1"/>
        <v>0.054976</v>
      </c>
      <c r="H24" s="230">
        <v>19182600</v>
      </c>
      <c r="I24" s="227">
        <f t="shared" si="2"/>
        <v>0.0548724</v>
      </c>
      <c r="J24" s="230">
        <v>17212400</v>
      </c>
      <c r="K24" s="228">
        <f t="shared" si="3"/>
        <v>0.0548724</v>
      </c>
      <c r="L24" s="232">
        <f t="shared" si="4"/>
        <v>737000</v>
      </c>
      <c r="M24" s="230"/>
    </row>
    <row r="25" spans="1:13" ht="15">
      <c r="A25" s="216"/>
      <c r="B25" s="222" t="s">
        <v>142</v>
      </c>
      <c r="C25" s="216" t="s">
        <v>143</v>
      </c>
      <c r="D25" s="231">
        <v>17564300</v>
      </c>
      <c r="E25" s="224">
        <f t="shared" si="0"/>
        <v>0.063522</v>
      </c>
      <c r="F25" s="230">
        <v>23446900</v>
      </c>
      <c r="G25" s="224">
        <f t="shared" si="1"/>
        <v>0.068419</v>
      </c>
      <c r="H25" s="230">
        <v>23640100</v>
      </c>
      <c r="I25" s="227">
        <f t="shared" si="2"/>
        <v>0.0676232</v>
      </c>
      <c r="J25" s="230">
        <v>21212100</v>
      </c>
      <c r="K25" s="228">
        <f t="shared" si="3"/>
        <v>0.0676232</v>
      </c>
      <c r="L25" s="232">
        <f t="shared" si="4"/>
        <v>3647800</v>
      </c>
      <c r="M25" s="230"/>
    </row>
    <row r="26" spans="1:13" ht="15">
      <c r="A26" s="216"/>
      <c r="B26" s="222" t="s">
        <v>144</v>
      </c>
      <c r="C26" s="216" t="s">
        <v>145</v>
      </c>
      <c r="D26" s="231">
        <v>21168000</v>
      </c>
      <c r="E26" s="224">
        <f t="shared" si="0"/>
        <v>0.076555</v>
      </c>
      <c r="F26" s="230">
        <v>26230800</v>
      </c>
      <c r="G26" s="224">
        <f t="shared" si="1"/>
        <v>0.076542</v>
      </c>
      <c r="H26" s="230">
        <v>26326500</v>
      </c>
      <c r="I26" s="227">
        <f t="shared" si="2"/>
        <v>0.0753077</v>
      </c>
      <c r="J26" s="230">
        <v>23622500</v>
      </c>
      <c r="K26" s="228">
        <f t="shared" si="3"/>
        <v>0.0753077</v>
      </c>
      <c r="L26" s="232">
        <f t="shared" si="4"/>
        <v>2454500</v>
      </c>
      <c r="M26" s="230"/>
    </row>
    <row r="27" spans="1:13" ht="15">
      <c r="A27" s="216"/>
      <c r="B27" s="222" t="s">
        <v>146</v>
      </c>
      <c r="C27" s="216" t="s">
        <v>147</v>
      </c>
      <c r="D27" s="231">
        <v>15556900</v>
      </c>
      <c r="E27" s="224">
        <f t="shared" si="0"/>
        <v>0.056262</v>
      </c>
      <c r="F27" s="230">
        <v>16627400</v>
      </c>
      <c r="G27" s="224">
        <f t="shared" si="1"/>
        <v>0.048519</v>
      </c>
      <c r="H27" s="230">
        <v>18318300</v>
      </c>
      <c r="I27" s="227">
        <f t="shared" si="2"/>
        <v>0.0524</v>
      </c>
      <c r="J27" s="230">
        <v>16436900</v>
      </c>
      <c r="K27" s="228">
        <f t="shared" si="3"/>
        <v>0.0524</v>
      </c>
      <c r="L27" s="232">
        <f t="shared" si="4"/>
        <v>880000</v>
      </c>
      <c r="M27" s="230"/>
    </row>
    <row r="28" spans="1:13" ht="15">
      <c r="A28" s="216"/>
      <c r="B28" s="222" t="s">
        <v>148</v>
      </c>
      <c r="C28" s="216" t="s">
        <v>149</v>
      </c>
      <c r="D28" s="231">
        <v>6706700</v>
      </c>
      <c r="E28" s="224">
        <f t="shared" si="0"/>
        <v>0.024255</v>
      </c>
      <c r="F28" s="230">
        <v>8274200</v>
      </c>
      <c r="G28" s="224">
        <f t="shared" si="1"/>
        <v>0.024144</v>
      </c>
      <c r="H28" s="230">
        <v>8469200</v>
      </c>
      <c r="I28" s="227">
        <f t="shared" si="2"/>
        <v>0.0242264</v>
      </c>
      <c r="J28" s="230">
        <v>7599400</v>
      </c>
      <c r="K28" s="228">
        <f t="shared" si="3"/>
        <v>0.0242264</v>
      </c>
      <c r="L28" s="232">
        <f t="shared" si="4"/>
        <v>892700</v>
      </c>
      <c r="M28" s="230"/>
    </row>
    <row r="29" spans="1:13" ht="15">
      <c r="A29" s="216"/>
      <c r="B29" s="222" t="s">
        <v>150</v>
      </c>
      <c r="C29" s="216" t="s">
        <v>151</v>
      </c>
      <c r="D29" s="231">
        <v>4967700</v>
      </c>
      <c r="E29" s="224">
        <f t="shared" si="0"/>
        <v>0.017966</v>
      </c>
      <c r="F29" s="230">
        <v>6850800</v>
      </c>
      <c r="G29" s="224">
        <f t="shared" si="1"/>
        <v>0.019991</v>
      </c>
      <c r="H29" s="230">
        <v>6956800</v>
      </c>
      <c r="I29" s="227">
        <f t="shared" si="2"/>
        <v>0.0199001</v>
      </c>
      <c r="J29" s="230">
        <v>6242300</v>
      </c>
      <c r="K29" s="228">
        <f t="shared" si="3"/>
        <v>0.0199001</v>
      </c>
      <c r="L29" s="232">
        <f t="shared" si="4"/>
        <v>1274600</v>
      </c>
      <c r="M29" s="230"/>
    </row>
    <row r="30" spans="1:13" ht="15">
      <c r="A30" s="216"/>
      <c r="B30" s="222" t="s">
        <v>152</v>
      </c>
      <c r="C30" s="216" t="s">
        <v>153</v>
      </c>
      <c r="D30" s="231">
        <v>3570300</v>
      </c>
      <c r="E30" s="224">
        <f t="shared" si="0"/>
        <v>0.012912</v>
      </c>
      <c r="F30" s="230">
        <v>4668600</v>
      </c>
      <c r="G30" s="224">
        <f t="shared" si="1"/>
        <v>0.013623</v>
      </c>
      <c r="H30" s="230">
        <v>4739500</v>
      </c>
      <c r="I30" s="227">
        <f t="shared" si="2"/>
        <v>0.0135575</v>
      </c>
      <c r="J30" s="230">
        <v>4252700</v>
      </c>
      <c r="K30" s="228">
        <f t="shared" si="3"/>
        <v>0.0135575</v>
      </c>
      <c r="L30" s="232">
        <f t="shared" si="4"/>
        <v>682400</v>
      </c>
      <c r="M30" s="230"/>
    </row>
    <row r="31" spans="1:13" ht="15">
      <c r="A31" s="216"/>
      <c r="B31" s="222" t="s">
        <v>154</v>
      </c>
      <c r="C31" s="216" t="s">
        <v>155</v>
      </c>
      <c r="D31" s="231">
        <v>6625900</v>
      </c>
      <c r="E31" s="224">
        <f t="shared" si="0"/>
        <v>0.023963</v>
      </c>
      <c r="F31" s="230">
        <v>8246200</v>
      </c>
      <c r="G31" s="224">
        <f t="shared" si="1"/>
        <v>0.024063</v>
      </c>
      <c r="H31" s="230">
        <v>8621100</v>
      </c>
      <c r="I31" s="227">
        <f t="shared" si="2"/>
        <v>0.0246609</v>
      </c>
      <c r="J31" s="230">
        <v>7735600</v>
      </c>
      <c r="K31" s="228">
        <f t="shared" si="3"/>
        <v>0.0246609</v>
      </c>
      <c r="L31" s="232">
        <f t="shared" si="4"/>
        <v>1109700</v>
      </c>
      <c r="M31" s="230"/>
    </row>
    <row r="32" spans="1:12" ht="15">
      <c r="A32" s="216"/>
      <c r="B32" s="222"/>
      <c r="C32" s="216"/>
      <c r="D32" s="231"/>
      <c r="E32" s="233"/>
      <c r="F32" s="218"/>
      <c r="G32" s="234"/>
      <c r="H32" s="218"/>
      <c r="I32" s="231"/>
      <c r="J32" s="235"/>
      <c r="K32" s="234"/>
      <c r="L32" s="232"/>
    </row>
    <row r="33" spans="1:14" ht="15">
      <c r="A33" s="216"/>
      <c r="B33" s="236"/>
      <c r="C33" s="237" t="s">
        <v>22</v>
      </c>
      <c r="D33" s="238">
        <f aca="true" t="shared" si="5" ref="D33:L33">SUM(D9:D31)</f>
        <v>276506800</v>
      </c>
      <c r="E33" s="239">
        <f t="shared" si="5"/>
        <v>1</v>
      </c>
      <c r="F33" s="240">
        <f t="shared" si="5"/>
        <v>342698100</v>
      </c>
      <c r="G33" s="241">
        <f t="shared" si="5"/>
        <v>1</v>
      </c>
      <c r="H33" s="240">
        <f t="shared" si="5"/>
        <v>349585600</v>
      </c>
      <c r="I33" s="239">
        <f t="shared" si="5"/>
        <v>1</v>
      </c>
      <c r="J33" s="240">
        <f t="shared" si="5"/>
        <v>313680800</v>
      </c>
      <c r="K33" s="242">
        <f t="shared" si="5"/>
        <v>1</v>
      </c>
      <c r="L33" s="243">
        <f t="shared" si="5"/>
        <v>37174000</v>
      </c>
      <c r="N33" s="244"/>
    </row>
    <row r="34" spans="4:12" ht="12.75">
      <c r="D34" s="245"/>
      <c r="E34" s="245"/>
      <c r="F34" s="245"/>
      <c r="G34" s="246"/>
      <c r="H34" s="245"/>
      <c r="I34" s="245"/>
      <c r="J34" s="245"/>
      <c r="K34" s="245"/>
      <c r="L34" s="247"/>
    </row>
    <row r="35" spans="10:12" ht="12.75">
      <c r="J35" s="248"/>
      <c r="L35" s="247"/>
    </row>
    <row r="36" ht="12.75">
      <c r="K36" s="248"/>
    </row>
    <row r="37" ht="12.75">
      <c r="K37" s="248"/>
    </row>
  </sheetData>
  <sheetProtection/>
  <mergeCells count="5">
    <mergeCell ref="F4:L4"/>
    <mergeCell ref="F5:G5"/>
    <mergeCell ref="J5:K5"/>
    <mergeCell ref="F6:G6"/>
    <mergeCell ref="J6:K6"/>
  </mergeCells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" sqref="J2"/>
    </sheetView>
  </sheetViews>
  <sheetFormatPr defaultColWidth="9.33203125" defaultRowHeight="12.75"/>
  <cols>
    <col min="1" max="1" width="28.5" style="113" customWidth="1"/>
    <col min="2" max="2" width="17.66015625" style="113" bestFit="1" customWidth="1"/>
    <col min="3" max="3" width="27.16015625" style="114" customWidth="1"/>
    <col min="4" max="4" width="14.5" style="113" bestFit="1" customWidth="1"/>
    <col min="5" max="5" width="3.16015625" style="113" customWidth="1"/>
    <col min="6" max="6" width="14.5" style="113" bestFit="1" customWidth="1"/>
    <col min="7" max="7" width="3.16015625" style="113" customWidth="1"/>
    <col min="8" max="8" width="14.5" style="113" bestFit="1" customWidth="1"/>
    <col min="9" max="9" width="3.5" style="113" customWidth="1"/>
    <col min="10" max="10" width="14.5" style="114" bestFit="1" customWidth="1"/>
    <col min="11" max="16384" width="9.33203125" style="113" customWidth="1"/>
  </cols>
  <sheetData>
    <row r="1" ht="16.5">
      <c r="A1" s="189" t="s">
        <v>74</v>
      </c>
    </row>
    <row r="2" ht="15.75">
      <c r="A2" s="115" t="s">
        <v>75</v>
      </c>
    </row>
    <row r="3" ht="15.75">
      <c r="A3" s="115"/>
    </row>
    <row r="4" spans="1:10" s="114" customFormat="1" ht="21" customHeight="1">
      <c r="A4" s="116"/>
      <c r="B4" s="116"/>
      <c r="C4" s="116"/>
      <c r="D4" s="274" t="s">
        <v>76</v>
      </c>
      <c r="E4" s="274"/>
      <c r="F4" s="274"/>
      <c r="G4" s="274"/>
      <c r="H4" s="274"/>
      <c r="I4" s="274"/>
      <c r="J4" s="274"/>
    </row>
    <row r="5" spans="1:10" s="119" customFormat="1" ht="50.25">
      <c r="A5" s="117" t="s">
        <v>73</v>
      </c>
      <c r="B5" s="117" t="s">
        <v>77</v>
      </c>
      <c r="C5" s="117"/>
      <c r="D5" s="118">
        <v>39630</v>
      </c>
      <c r="E5" s="118"/>
      <c r="F5" s="118">
        <v>39722</v>
      </c>
      <c r="G5" s="118"/>
      <c r="H5" s="118">
        <v>39814</v>
      </c>
      <c r="I5" s="118"/>
      <c r="J5" s="118">
        <v>39904</v>
      </c>
    </row>
    <row r="6" spans="1:9" ht="15.75">
      <c r="A6" s="120"/>
      <c r="B6" s="114"/>
      <c r="D6" s="114"/>
      <c r="E6" s="114"/>
      <c r="F6" s="114"/>
      <c r="G6" s="114"/>
      <c r="H6" s="114"/>
      <c r="I6" s="114"/>
    </row>
    <row r="7" spans="1:10" ht="15.75">
      <c r="A7" s="121" t="s">
        <v>0</v>
      </c>
      <c r="B7" s="121">
        <v>134400</v>
      </c>
      <c r="C7" s="121"/>
      <c r="D7" s="121">
        <f>ROUND(B7/4,2)</f>
        <v>33600</v>
      </c>
      <c r="E7" s="121"/>
      <c r="F7" s="121">
        <f aca="true" t="shared" si="0" ref="F7:F29">D7</f>
        <v>33600</v>
      </c>
      <c r="G7" s="121"/>
      <c r="H7" s="121">
        <f aca="true" t="shared" si="1" ref="H7:H29">F7</f>
        <v>33600</v>
      </c>
      <c r="I7" s="121"/>
      <c r="J7" s="121">
        <f aca="true" t="shared" si="2" ref="J7:J29">H7</f>
        <v>33600</v>
      </c>
    </row>
    <row r="8" spans="1:10" ht="15.75">
      <c r="A8" s="122" t="s">
        <v>1</v>
      </c>
      <c r="B8" s="123">
        <v>55600</v>
      </c>
      <c r="C8" s="123"/>
      <c r="D8" s="123">
        <f aca="true" t="shared" si="3" ref="D8:D29">ROUND(B8/4,2)</f>
        <v>13900</v>
      </c>
      <c r="E8" s="123"/>
      <c r="F8" s="123">
        <f t="shared" si="0"/>
        <v>13900</v>
      </c>
      <c r="G8" s="123"/>
      <c r="H8" s="123">
        <f t="shared" si="1"/>
        <v>13900</v>
      </c>
      <c r="I8" s="123"/>
      <c r="J8" s="123">
        <f t="shared" si="2"/>
        <v>13900</v>
      </c>
    </row>
    <row r="9" spans="1:10" ht="15.75">
      <c r="A9" s="122" t="s">
        <v>2</v>
      </c>
      <c r="B9" s="123">
        <v>289700</v>
      </c>
      <c r="C9" s="123"/>
      <c r="D9" s="123">
        <f t="shared" si="3"/>
        <v>72425</v>
      </c>
      <c r="E9" s="123"/>
      <c r="F9" s="123">
        <f t="shared" si="0"/>
        <v>72425</v>
      </c>
      <c r="G9" s="123"/>
      <c r="H9" s="123">
        <f t="shared" si="1"/>
        <v>72425</v>
      </c>
      <c r="I9" s="123"/>
      <c r="J9" s="123">
        <f t="shared" si="2"/>
        <v>72425</v>
      </c>
    </row>
    <row r="10" spans="1:10" ht="15.75">
      <c r="A10" s="122" t="s">
        <v>3</v>
      </c>
      <c r="B10" s="123">
        <v>200100</v>
      </c>
      <c r="C10" s="123"/>
      <c r="D10" s="123">
        <f t="shared" si="3"/>
        <v>50025</v>
      </c>
      <c r="E10" s="123"/>
      <c r="F10" s="123">
        <f t="shared" si="0"/>
        <v>50025</v>
      </c>
      <c r="G10" s="123"/>
      <c r="H10" s="123">
        <f t="shared" si="1"/>
        <v>50025</v>
      </c>
      <c r="I10" s="123"/>
      <c r="J10" s="123">
        <f t="shared" si="2"/>
        <v>50025</v>
      </c>
    </row>
    <row r="11" spans="1:10" ht="15.75">
      <c r="A11" s="122" t="s">
        <v>31</v>
      </c>
      <c r="B11" s="123">
        <v>288200</v>
      </c>
      <c r="C11" s="123"/>
      <c r="D11" s="123">
        <f t="shared" si="3"/>
        <v>72050</v>
      </c>
      <c r="E11" s="123"/>
      <c r="F11" s="123">
        <f t="shared" si="0"/>
        <v>72050</v>
      </c>
      <c r="G11" s="123"/>
      <c r="H11" s="123">
        <f t="shared" si="1"/>
        <v>72050</v>
      </c>
      <c r="I11" s="123"/>
      <c r="J11" s="123">
        <f t="shared" si="2"/>
        <v>72050</v>
      </c>
    </row>
    <row r="12" spans="1:10" ht="15.75">
      <c r="A12" s="122" t="s">
        <v>4</v>
      </c>
      <c r="B12" s="123">
        <v>384000</v>
      </c>
      <c r="C12" s="123"/>
      <c r="D12" s="123">
        <f t="shared" si="3"/>
        <v>96000</v>
      </c>
      <c r="E12" s="123"/>
      <c r="F12" s="123">
        <f t="shared" si="0"/>
        <v>96000</v>
      </c>
      <c r="G12" s="123"/>
      <c r="H12" s="123">
        <f t="shared" si="1"/>
        <v>96000</v>
      </c>
      <c r="I12" s="123"/>
      <c r="J12" s="123">
        <f t="shared" si="2"/>
        <v>96000</v>
      </c>
    </row>
    <row r="13" spans="1:10" ht="15.75">
      <c r="A13" s="122" t="s">
        <v>5</v>
      </c>
      <c r="B13" s="123">
        <v>668000</v>
      </c>
      <c r="C13" s="123"/>
      <c r="D13" s="123">
        <f t="shared" si="3"/>
        <v>167000</v>
      </c>
      <c r="E13" s="123"/>
      <c r="F13" s="123">
        <f t="shared" si="0"/>
        <v>167000</v>
      </c>
      <c r="G13" s="123"/>
      <c r="H13" s="123">
        <f t="shared" si="1"/>
        <v>167000</v>
      </c>
      <c r="I13" s="123"/>
      <c r="J13" s="123">
        <f t="shared" si="2"/>
        <v>167000</v>
      </c>
    </row>
    <row r="14" spans="1:10" ht="15.75">
      <c r="A14" s="122" t="s">
        <v>6</v>
      </c>
      <c r="B14" s="123">
        <v>141100</v>
      </c>
      <c r="C14" s="123"/>
      <c r="D14" s="123">
        <f t="shared" si="3"/>
        <v>35275</v>
      </c>
      <c r="E14" s="123"/>
      <c r="F14" s="123">
        <f t="shared" si="0"/>
        <v>35275</v>
      </c>
      <c r="G14" s="123"/>
      <c r="H14" s="123">
        <f t="shared" si="1"/>
        <v>35275</v>
      </c>
      <c r="I14" s="123"/>
      <c r="J14" s="123">
        <f t="shared" si="2"/>
        <v>35275</v>
      </c>
    </row>
    <row r="15" spans="1:10" ht="15.75">
      <c r="A15" s="122" t="s">
        <v>7</v>
      </c>
      <c r="B15" s="123">
        <v>679200</v>
      </c>
      <c r="C15" s="123"/>
      <c r="D15" s="123">
        <f t="shared" si="3"/>
        <v>169800</v>
      </c>
      <c r="E15" s="123"/>
      <c r="F15" s="123">
        <f t="shared" si="0"/>
        <v>169800</v>
      </c>
      <c r="G15" s="123"/>
      <c r="H15" s="123">
        <f t="shared" si="1"/>
        <v>169800</v>
      </c>
      <c r="I15" s="123"/>
      <c r="J15" s="123">
        <f t="shared" si="2"/>
        <v>169800</v>
      </c>
    </row>
    <row r="16" spans="1:10" ht="15.75">
      <c r="A16" s="122" t="s">
        <v>8</v>
      </c>
      <c r="B16" s="123">
        <v>406300</v>
      </c>
      <c r="C16" s="123"/>
      <c r="D16" s="123">
        <f t="shared" si="3"/>
        <v>101575</v>
      </c>
      <c r="E16" s="123"/>
      <c r="F16" s="123">
        <f t="shared" si="0"/>
        <v>101575</v>
      </c>
      <c r="G16" s="123"/>
      <c r="H16" s="123">
        <f t="shared" si="1"/>
        <v>101575</v>
      </c>
      <c r="I16" s="123"/>
      <c r="J16" s="123">
        <f t="shared" si="2"/>
        <v>101575</v>
      </c>
    </row>
    <row r="17" spans="1:10" ht="15.75">
      <c r="A17" s="122" t="s">
        <v>9</v>
      </c>
      <c r="B17" s="123">
        <v>25100</v>
      </c>
      <c r="C17" s="123"/>
      <c r="D17" s="123">
        <f t="shared" si="3"/>
        <v>6275</v>
      </c>
      <c r="E17" s="123"/>
      <c r="F17" s="123">
        <f t="shared" si="0"/>
        <v>6275</v>
      </c>
      <c r="G17" s="123"/>
      <c r="H17" s="123">
        <f t="shared" si="1"/>
        <v>6275</v>
      </c>
      <c r="I17" s="123"/>
      <c r="J17" s="123">
        <f t="shared" si="2"/>
        <v>6275</v>
      </c>
    </row>
    <row r="18" spans="1:10" ht="15.75">
      <c r="A18" s="122" t="s">
        <v>10</v>
      </c>
      <c r="B18" s="123">
        <v>62500</v>
      </c>
      <c r="C18" s="123"/>
      <c r="D18" s="123">
        <f t="shared" si="3"/>
        <v>15625</v>
      </c>
      <c r="E18" s="123"/>
      <c r="F18" s="123">
        <f t="shared" si="0"/>
        <v>15625</v>
      </c>
      <c r="G18" s="123"/>
      <c r="H18" s="123">
        <f t="shared" si="1"/>
        <v>15625</v>
      </c>
      <c r="I18" s="123"/>
      <c r="J18" s="123">
        <f t="shared" si="2"/>
        <v>15625</v>
      </c>
    </row>
    <row r="19" spans="1:10" ht="15.75">
      <c r="A19" s="122" t="s">
        <v>11</v>
      </c>
      <c r="B19" s="123">
        <v>623800</v>
      </c>
      <c r="C19" s="123"/>
      <c r="D19" s="123">
        <f t="shared" si="3"/>
        <v>155950</v>
      </c>
      <c r="E19" s="123"/>
      <c r="F19" s="123">
        <f t="shared" si="0"/>
        <v>155950</v>
      </c>
      <c r="G19" s="123"/>
      <c r="H19" s="123">
        <f t="shared" si="1"/>
        <v>155950</v>
      </c>
      <c r="I19" s="123"/>
      <c r="J19" s="123">
        <f t="shared" si="2"/>
        <v>155950</v>
      </c>
    </row>
    <row r="20" spans="1:10" ht="15.75">
      <c r="A20" s="122" t="s">
        <v>12</v>
      </c>
      <c r="B20" s="123">
        <v>388900</v>
      </c>
      <c r="C20" s="123"/>
      <c r="D20" s="123">
        <f t="shared" si="3"/>
        <v>97225</v>
      </c>
      <c r="E20" s="123"/>
      <c r="F20" s="123">
        <f t="shared" si="0"/>
        <v>97225</v>
      </c>
      <c r="G20" s="123"/>
      <c r="H20" s="123">
        <f t="shared" si="1"/>
        <v>97225</v>
      </c>
      <c r="I20" s="123"/>
      <c r="J20" s="123">
        <f t="shared" si="2"/>
        <v>97225</v>
      </c>
    </row>
    <row r="21" spans="1:10" ht="15.75">
      <c r="A21" s="122" t="s">
        <v>13</v>
      </c>
      <c r="B21" s="123">
        <v>471300</v>
      </c>
      <c r="C21" s="123"/>
      <c r="D21" s="123">
        <f t="shared" si="3"/>
        <v>117825</v>
      </c>
      <c r="E21" s="123"/>
      <c r="F21" s="123">
        <f t="shared" si="0"/>
        <v>117825</v>
      </c>
      <c r="G21" s="123"/>
      <c r="H21" s="123">
        <f t="shared" si="1"/>
        <v>117825</v>
      </c>
      <c r="I21" s="123"/>
      <c r="J21" s="123">
        <f t="shared" si="2"/>
        <v>117825</v>
      </c>
    </row>
    <row r="22" spans="1:10" ht="15.75">
      <c r="A22" s="122" t="s">
        <v>14</v>
      </c>
      <c r="B22" s="123">
        <v>318900</v>
      </c>
      <c r="C22" s="123"/>
      <c r="D22" s="123">
        <f t="shared" si="3"/>
        <v>79725</v>
      </c>
      <c r="E22" s="123"/>
      <c r="F22" s="123">
        <f t="shared" si="0"/>
        <v>79725</v>
      </c>
      <c r="G22" s="123"/>
      <c r="H22" s="123">
        <f t="shared" si="1"/>
        <v>79725</v>
      </c>
      <c r="I22" s="123"/>
      <c r="J22" s="123">
        <f t="shared" si="2"/>
        <v>79725</v>
      </c>
    </row>
    <row r="23" spans="1:10" ht="15.75">
      <c r="A23" s="122" t="s">
        <v>15</v>
      </c>
      <c r="B23" s="123">
        <v>667500</v>
      </c>
      <c r="C23" s="123"/>
      <c r="D23" s="123">
        <f t="shared" si="3"/>
        <v>166875</v>
      </c>
      <c r="E23" s="123"/>
      <c r="F23" s="123">
        <f t="shared" si="0"/>
        <v>166875</v>
      </c>
      <c r="G23" s="123"/>
      <c r="H23" s="123">
        <f t="shared" si="1"/>
        <v>166875</v>
      </c>
      <c r="I23" s="123"/>
      <c r="J23" s="123">
        <f t="shared" si="2"/>
        <v>166875</v>
      </c>
    </row>
    <row r="24" spans="1:10" ht="15.75">
      <c r="A24" s="122" t="s">
        <v>16</v>
      </c>
      <c r="B24" s="123">
        <v>611200</v>
      </c>
      <c r="C24" s="123"/>
      <c r="D24" s="123">
        <f t="shared" si="3"/>
        <v>152800</v>
      </c>
      <c r="E24" s="123"/>
      <c r="F24" s="123">
        <f t="shared" si="0"/>
        <v>152800</v>
      </c>
      <c r="G24" s="123"/>
      <c r="H24" s="123">
        <f t="shared" si="1"/>
        <v>152800</v>
      </c>
      <c r="I24" s="123"/>
      <c r="J24" s="123">
        <f t="shared" si="2"/>
        <v>152800</v>
      </c>
    </row>
    <row r="25" spans="1:10" ht="15.75">
      <c r="A25" s="122" t="s">
        <v>17</v>
      </c>
      <c r="B25" s="123">
        <v>589400</v>
      </c>
      <c r="C25" s="123"/>
      <c r="D25" s="123">
        <f t="shared" si="3"/>
        <v>147350</v>
      </c>
      <c r="E25" s="123"/>
      <c r="F25" s="123">
        <f t="shared" si="0"/>
        <v>147350</v>
      </c>
      <c r="G25" s="123"/>
      <c r="H25" s="123">
        <f t="shared" si="1"/>
        <v>147350</v>
      </c>
      <c r="I25" s="123"/>
      <c r="J25" s="123">
        <f t="shared" si="2"/>
        <v>147350</v>
      </c>
    </row>
    <row r="26" spans="1:10" ht="15.75">
      <c r="A26" s="122" t="s">
        <v>18</v>
      </c>
      <c r="B26" s="123">
        <v>444000</v>
      </c>
      <c r="C26" s="123"/>
      <c r="D26" s="123">
        <f t="shared" si="3"/>
        <v>111000</v>
      </c>
      <c r="E26" s="123"/>
      <c r="F26" s="123">
        <f t="shared" si="0"/>
        <v>111000</v>
      </c>
      <c r="G26" s="123"/>
      <c r="H26" s="123">
        <f t="shared" si="1"/>
        <v>111000</v>
      </c>
      <c r="I26" s="123"/>
      <c r="J26" s="123">
        <f t="shared" si="2"/>
        <v>111000</v>
      </c>
    </row>
    <row r="27" spans="1:10" ht="15.75">
      <c r="A27" s="122" t="s">
        <v>19</v>
      </c>
      <c r="B27" s="123">
        <v>156800</v>
      </c>
      <c r="C27" s="123"/>
      <c r="D27" s="123">
        <f t="shared" si="3"/>
        <v>39200</v>
      </c>
      <c r="E27" s="123"/>
      <c r="F27" s="123">
        <f t="shared" si="0"/>
        <v>39200</v>
      </c>
      <c r="G27" s="123"/>
      <c r="H27" s="123">
        <f t="shared" si="1"/>
        <v>39200</v>
      </c>
      <c r="I27" s="123"/>
      <c r="J27" s="123">
        <f t="shared" si="2"/>
        <v>39200</v>
      </c>
    </row>
    <row r="28" spans="1:10" ht="15.75">
      <c r="A28" s="122" t="s">
        <v>20</v>
      </c>
      <c r="B28" s="123">
        <v>148900</v>
      </c>
      <c r="C28" s="123"/>
      <c r="D28" s="123">
        <f t="shared" si="3"/>
        <v>37225</v>
      </c>
      <c r="E28" s="123"/>
      <c r="F28" s="123">
        <f t="shared" si="0"/>
        <v>37225</v>
      </c>
      <c r="G28" s="123"/>
      <c r="H28" s="123">
        <f t="shared" si="1"/>
        <v>37225</v>
      </c>
      <c r="I28" s="123"/>
      <c r="J28" s="123">
        <f t="shared" si="2"/>
        <v>37225</v>
      </c>
    </row>
    <row r="29" spans="1:10" ht="15.75">
      <c r="A29" s="122" t="s">
        <v>21</v>
      </c>
      <c r="B29" s="124">
        <v>153000</v>
      </c>
      <c r="C29" s="123"/>
      <c r="D29" s="124">
        <f t="shared" si="3"/>
        <v>38250</v>
      </c>
      <c r="E29" s="123"/>
      <c r="F29" s="124">
        <f t="shared" si="0"/>
        <v>38250</v>
      </c>
      <c r="G29" s="123"/>
      <c r="H29" s="124">
        <f t="shared" si="1"/>
        <v>38250</v>
      </c>
      <c r="I29" s="123"/>
      <c r="J29" s="124">
        <f t="shared" si="2"/>
        <v>38250</v>
      </c>
    </row>
    <row r="30" spans="1:9" ht="9" customHeight="1">
      <c r="A30" s="122"/>
      <c r="B30" s="114"/>
      <c r="D30" s="114"/>
      <c r="E30" s="114"/>
      <c r="F30" s="114"/>
      <c r="G30" s="114"/>
      <c r="H30" s="114"/>
      <c r="I30" s="114"/>
    </row>
    <row r="31" spans="1:10" s="126" customFormat="1" ht="15.75">
      <c r="A31" s="125" t="s">
        <v>78</v>
      </c>
      <c r="B31" s="125">
        <f>SUM(B7:B29)</f>
        <v>7907900</v>
      </c>
      <c r="C31" s="125"/>
      <c r="D31" s="125">
        <f>SUM(D7:D30)</f>
        <v>1976975</v>
      </c>
      <c r="E31" s="125"/>
      <c r="F31" s="125">
        <f>SUM(F7:F30)</f>
        <v>1976975</v>
      </c>
      <c r="G31" s="125"/>
      <c r="H31" s="125">
        <f>SUM(H7:H30)</f>
        <v>1976975</v>
      </c>
      <c r="I31" s="125"/>
      <c r="J31" s="125">
        <f>SUM(J7:J30)</f>
        <v>1976975</v>
      </c>
    </row>
    <row r="32" spans="1:9" ht="15.75">
      <c r="A32" s="122"/>
      <c r="B32" s="114"/>
      <c r="D32" s="114"/>
      <c r="E32" s="114"/>
      <c r="F32" s="114"/>
      <c r="G32" s="114"/>
      <c r="H32" s="114"/>
      <c r="I32" s="114"/>
    </row>
    <row r="34" spans="1:10" ht="49.5" customHeight="1">
      <c r="A34" s="275" t="s">
        <v>99</v>
      </c>
      <c r="B34" s="276"/>
      <c r="C34" s="276"/>
      <c r="D34" s="276"/>
      <c r="E34" s="276"/>
      <c r="F34" s="276"/>
      <c r="G34" s="276"/>
      <c r="H34" s="276"/>
      <c r="I34" s="276"/>
      <c r="J34" s="276"/>
    </row>
    <row r="35" spans="1:10" ht="30.75" customHeight="1">
      <c r="A35" s="277" t="s">
        <v>100</v>
      </c>
      <c r="B35" s="277"/>
      <c r="C35" s="277"/>
      <c r="D35" s="277"/>
      <c r="E35" s="277"/>
      <c r="F35" s="277"/>
      <c r="G35" s="277"/>
      <c r="H35" s="277"/>
      <c r="I35" s="277"/>
      <c r="J35" s="277"/>
    </row>
  </sheetData>
  <sheetProtection/>
  <mergeCells count="3">
    <mergeCell ref="D4:J4"/>
    <mergeCell ref="A34:J34"/>
    <mergeCell ref="A35:J35"/>
  </mergeCells>
  <printOptions/>
  <pageMargins left="1" right="0.5" top="1" bottom="0.5" header="0.5" footer="0.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Rideau</dc:creator>
  <cp:keywords/>
  <dc:description/>
  <cp:lastModifiedBy>sgordon</cp:lastModifiedBy>
  <cp:lastPrinted>2008-07-23T15:21:20Z</cp:lastPrinted>
  <dcterms:created xsi:type="dcterms:W3CDTF">2005-01-20T22:46:37Z</dcterms:created>
  <dcterms:modified xsi:type="dcterms:W3CDTF">2008-09-26T18:49:10Z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72WVDYXX2UNK-1717399031-59</vt:lpwstr>
  </property>
  <property fmtid="{D5CDD505-2E9C-101B-9397-08002B2CF9AE}" pid="4" name="_dlc_DocIdItemGu">
    <vt:lpwstr>6e31e666-cafb-4bdb-9492-d70cca2a4323</vt:lpwstr>
  </property>
  <property fmtid="{D5CDD505-2E9C-101B-9397-08002B2CF9AE}" pid="5" name="_dlc_DocIdU">
    <vt:lpwstr>https://www2.calstate.edu/csu-system/about-the-csu/budget/_layouts/15/DocIdRedir.aspx?ID=72WVDYXX2UNK-1717399031-59, 72WVDYXX2UNK-1717399031-59</vt:lpwstr>
  </property>
</Properties>
</file>