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0455" yWindow="210" windowWidth="7260" windowHeight="9810" tabRatio="569" activeTab="0"/>
  </bookViews>
  <sheets>
    <sheet name="(A) Budget Summary" sheetId="1" r:id="rId1"/>
    <sheet name="(B) Base Bud Adj" sheetId="2" r:id="rId2"/>
    <sheet name="(C) 11-12 Expenditure Adjust." sheetId="3" r:id="rId3"/>
    <sheet name="(D) Tuition Revenue" sheetId="4" r:id="rId4"/>
    <sheet name="(E) 2011-12 FTES " sheetId="5" r:id="rId5"/>
    <sheet name="(F) SUG " sheetId="6" r:id="rId6"/>
    <sheet name="(G) Interest Pymt Schedule" sheetId="7" r:id="rId7"/>
  </sheets>
  <definedNames>
    <definedName name="_xlnm.Print_Area" localSheetId="0">'(A) Budget Summary'!$A$1:$T$44</definedName>
    <definedName name="_xlnm.Print_Area" localSheetId="1">'(B) Base Bud Adj'!$A$1:$W$43</definedName>
    <definedName name="_xlnm.Print_Area" localSheetId="2">'(C) 11-12 Expenditure Adjust.'!$A$1:$T$40</definedName>
    <definedName name="_xlnm.Print_Area" localSheetId="3">'(D) Tuition Revenue'!$A$1:$AI$43</definedName>
    <definedName name="_xlnm.Print_Area" localSheetId="4">'(E) 2011-12 FTES '!$A$1:$J$44</definedName>
    <definedName name="_xlnm.Print_Area" localSheetId="5">'(F) SUG '!$A$1:$M$35</definedName>
    <definedName name="_xlnm.Print_Area" localSheetId="6">'(G) Interest Pymt Schedule'!$A$1:$J$35</definedName>
    <definedName name="_xlnm.Print_Titles" localSheetId="3">'(D) Tuition Revenue'!$A:$A,'(D) Tuition Revenue'!$1:$4</definedName>
  </definedNames>
  <calcPr fullCalcOnLoad="1"/>
</workbook>
</file>

<file path=xl/sharedStrings.xml><?xml version="1.0" encoding="utf-8"?>
<sst xmlns="http://schemas.openxmlformats.org/spreadsheetml/2006/main" count="372" uniqueCount="203">
  <si>
    <t>Bakersfield</t>
  </si>
  <si>
    <t>Channel Islands</t>
  </si>
  <si>
    <t>Chico</t>
  </si>
  <si>
    <t>Dominguez Hills</t>
  </si>
  <si>
    <t>Fresno</t>
  </si>
  <si>
    <t>Fullerton</t>
  </si>
  <si>
    <t>Humboldt</t>
  </si>
  <si>
    <t>Long Beach</t>
  </si>
  <si>
    <t>Los Angeles</t>
  </si>
  <si>
    <t>Maritime Academy</t>
  </si>
  <si>
    <t>Monterey Bay</t>
  </si>
  <si>
    <t>Northridge</t>
  </si>
  <si>
    <t>Pomona</t>
  </si>
  <si>
    <t>Sacramento</t>
  </si>
  <si>
    <t>San Bernardino</t>
  </si>
  <si>
    <t>San Diego</t>
  </si>
  <si>
    <t>San Francisco</t>
  </si>
  <si>
    <t>San Jose</t>
  </si>
  <si>
    <t>San Luis Obispo</t>
  </si>
  <si>
    <t>San Marcos</t>
  </si>
  <si>
    <t>Sonoma</t>
  </si>
  <si>
    <t>Stanislaus</t>
  </si>
  <si>
    <t>Campus Total</t>
  </si>
  <si>
    <t>Chancellor's Office</t>
  </si>
  <si>
    <t>International Programs</t>
  </si>
  <si>
    <t>Summer Arts</t>
  </si>
  <si>
    <t>Systemwide Provisions</t>
  </si>
  <si>
    <t>CSU System Total</t>
  </si>
  <si>
    <t>Campus Reported Gross         Final Budget</t>
  </si>
  <si>
    <t>East Bay</t>
  </si>
  <si>
    <t>CalStateTeach</t>
  </si>
  <si>
    <t>Energy</t>
  </si>
  <si>
    <t>Health</t>
  </si>
  <si>
    <t>Quarterly Payment Schedule</t>
  </si>
  <si>
    <t>Campus</t>
  </si>
  <si>
    <r>
      <t>Interest Assessment Total</t>
    </r>
    <r>
      <rPr>
        <b/>
        <vertAlign val="superscript"/>
        <sz val="12"/>
        <rFont val="Times New Roman"/>
        <family val="1"/>
      </rPr>
      <t>1</t>
    </r>
  </si>
  <si>
    <t>Total</t>
  </si>
  <si>
    <t>(Sum Cols. 1-3)</t>
  </si>
  <si>
    <t>Unadjusted Other Fee Revenue and Reim.</t>
  </si>
  <si>
    <t>Grand Total</t>
  </si>
  <si>
    <t>Sub-Totals</t>
  </si>
  <si>
    <t>Change in Student Enrollment Patterns</t>
  </si>
  <si>
    <t>$</t>
  </si>
  <si>
    <t>%</t>
  </si>
  <si>
    <t xml:space="preserve">Bakersfield       </t>
  </si>
  <si>
    <t xml:space="preserve">Chico             </t>
  </si>
  <si>
    <t xml:space="preserve">Dominguez Hills   </t>
  </si>
  <si>
    <t xml:space="preserve">Fresno            </t>
  </si>
  <si>
    <t xml:space="preserve">Fullerton         </t>
  </si>
  <si>
    <t xml:space="preserve">Humboldt          </t>
  </si>
  <si>
    <t xml:space="preserve">Long Beach        </t>
  </si>
  <si>
    <t xml:space="preserve">Los Angeles       </t>
  </si>
  <si>
    <t xml:space="preserve">Northridge        </t>
  </si>
  <si>
    <t xml:space="preserve">Pomona            </t>
  </si>
  <si>
    <t xml:space="preserve">Sacramento        </t>
  </si>
  <si>
    <t xml:space="preserve">San Bernardino    </t>
  </si>
  <si>
    <t xml:space="preserve">San Diego         </t>
  </si>
  <si>
    <t xml:space="preserve">San Francisco     </t>
  </si>
  <si>
    <t xml:space="preserve">San Jose          </t>
  </si>
  <si>
    <t xml:space="preserve">San Luis Obispo   </t>
  </si>
  <si>
    <t xml:space="preserve">San Marcos        </t>
  </si>
  <si>
    <t xml:space="preserve">Sonoma            </t>
  </si>
  <si>
    <t xml:space="preserve">Stanislaus        </t>
  </si>
  <si>
    <t>TOTALS</t>
  </si>
  <si>
    <t>(Cols. 2 - 1)</t>
  </si>
  <si>
    <t>CSU Resident Full-Time Equivalent Students</t>
  </si>
  <si>
    <r>
      <t xml:space="preserve">Resident Students </t>
    </r>
    <r>
      <rPr>
        <b/>
        <vertAlign val="superscript"/>
        <sz val="11"/>
        <rFont val="Times New Roman"/>
        <family val="1"/>
      </rPr>
      <t>1</t>
    </r>
  </si>
  <si>
    <r>
      <t xml:space="preserve">2010/11 FTES B 10-04 Baseline </t>
    </r>
    <r>
      <rPr>
        <vertAlign val="superscript"/>
        <sz val="11"/>
        <rFont val="Times New Roman"/>
        <family val="1"/>
      </rPr>
      <t>1</t>
    </r>
  </si>
  <si>
    <t>(Cols. 2 + 7)</t>
  </si>
  <si>
    <t>(Cols. 1 + 5 + 6)</t>
  </si>
  <si>
    <t>(Sum Cols. 8-10)</t>
  </si>
  <si>
    <t>ATTACHMENT G - CSU Operating Revenue - 2011/12 Interest Payment Schedule</t>
  </si>
  <si>
    <t>(Included with the 2011/12 budget allocation memo for information only)</t>
  </si>
  <si>
    <t xml:space="preserve">The 2011/12 interest chargeback by campus is based on the campus operating revenue equivalent to the 2010/11 Tuition and Other Fee Revenue reported in 2010/11 FIRMS final budget submissions. </t>
  </si>
  <si>
    <t>2010/11 FIRMS Final Budget Detail</t>
  </si>
  <si>
    <t xml:space="preserve">General Fund Allocation </t>
  </si>
  <si>
    <t>2010/11 B 10-04 General Fund Allocation</t>
  </si>
  <si>
    <t>Dental</t>
  </si>
  <si>
    <r>
      <rPr>
        <vertAlign val="super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 xml:space="preserve"> Reference Attachment E for corresponding FTES by campus.</t>
    </r>
  </si>
  <si>
    <r>
      <t xml:space="preserve">2011/12 Non-resident FTES </t>
    </r>
    <r>
      <rPr>
        <vertAlign val="superscript"/>
        <sz val="11"/>
        <rFont val="Times New Roman"/>
        <family val="1"/>
      </rPr>
      <t>2</t>
    </r>
  </si>
  <si>
    <t xml:space="preserve">2011/12 Total FTES </t>
  </si>
  <si>
    <t>SUG Academic Year (AY) Eligibility Based on 2009/10 Final Database With 2011/12 Fee Levels</t>
  </si>
  <si>
    <t>SUG AY Eligibility Further Adjusted to Reflect Funded Enrollment Targets from 2009/10 to 2011/12</t>
  </si>
  <si>
    <r>
      <t xml:space="preserve">B 10-04 2010/11 Allocations - October 2010 </t>
    </r>
    <r>
      <rPr>
        <vertAlign val="superscript"/>
        <sz val="11"/>
        <color indexed="8"/>
        <rFont val="Times New Roman"/>
        <family val="1"/>
      </rPr>
      <t>1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</si>
  <si>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For purposes of fee revenue and SUG calculations, the 2010/11 FTES B 10-04 baseline was 326,290 FTES.</t>
    </r>
  </si>
  <si>
    <r>
      <t xml:space="preserve">1 </t>
    </r>
    <r>
      <rPr>
        <sz val="10"/>
        <color indexed="8"/>
        <rFont val="Times New Roman"/>
        <family val="1"/>
      </rPr>
      <t>For purposes of fee revenue and SUG calculations, the 2010/11 FTES B 10-04 baseline was 326,290 FTES.</t>
    </r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</si>
  <si>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The total CSU 2011/12 operating revenue interest to be assessed is $3.526M, which represents a $3.714M decrease to the 2010/11 $7.240M level.  CSU is obligated by budget statute to keep the State whole for interest earned on student fee revenue held in trust. This was the result of a State/CSU agreement when CSU state support operations moved from the General Fund to the Trust Fund in 2006/07. </t>
    </r>
  </si>
  <si>
    <t>(Attach. F / Col. 3)</t>
  </si>
  <si>
    <t>Summer 2011 Change in Enrollment Patterns</t>
  </si>
  <si>
    <t>Full-Year Effect of Mid-Year 2010/11 Tuition Fee Rate Increase - 326,290 FTES</t>
  </si>
  <si>
    <t>Full-Year Effect of Mid-Year 2010/11 Tuition Fee Rate Increase</t>
  </si>
  <si>
    <t>-1/3rd of Col. 7</t>
  </si>
  <si>
    <t>= Col. 5</t>
  </si>
  <si>
    <r>
      <t xml:space="preserve">2 </t>
    </r>
    <r>
      <rPr>
        <sz val="10"/>
        <rFont val="Times New Roman"/>
        <family val="1"/>
      </rPr>
      <t xml:space="preserve">The nonresident FTES is equal to the 2009/10 actual FTES. </t>
    </r>
  </si>
  <si>
    <t>2011/12 Resident FTES Change</t>
  </si>
  <si>
    <t>One-Time Funding</t>
  </si>
  <si>
    <r>
      <t xml:space="preserve">2010/11 Retirement Adjustment </t>
    </r>
    <r>
      <rPr>
        <vertAlign val="superscript"/>
        <sz val="10"/>
        <rFont val="Times New Roman"/>
        <family val="1"/>
      </rPr>
      <t>1</t>
    </r>
  </si>
  <si>
    <t>(Ref. FTES Adjustments in Attach. E / Col. 2)</t>
  </si>
  <si>
    <t>$106M GF Restoration / Funded FTES Adjustments (2010/11 MC Rate of $7,305)</t>
  </si>
  <si>
    <t>Net Full-Year Spring 2011 Fee Increase Offset</t>
  </si>
  <si>
    <t>Remaining Adjustments</t>
  </si>
  <si>
    <t>Revised General Fund Base</t>
  </si>
  <si>
    <r>
      <t xml:space="preserve">GF Base Adjustments (SWPs) </t>
    </r>
    <r>
      <rPr>
        <vertAlign val="superscript"/>
        <sz val="10"/>
        <rFont val="Times New Roman"/>
        <family val="1"/>
      </rPr>
      <t>2</t>
    </r>
  </si>
  <si>
    <r>
      <t xml:space="preserve">2011/12 General Fund Base                   </t>
    </r>
    <r>
      <rPr>
        <i/>
        <sz val="9"/>
        <color indexed="8"/>
        <rFont val="Times New Roman"/>
        <family val="1"/>
      </rPr>
      <t xml:space="preserve"> (before SUG Adjustments)</t>
    </r>
  </si>
  <si>
    <t>2011/12 Gross Budget Allocation</t>
  </si>
  <si>
    <t>B 11-01 Financial Aid Set-Aside</t>
  </si>
  <si>
    <t>Total Mandatory Costs</t>
  </si>
  <si>
    <r>
      <t xml:space="preserve">New Space Need </t>
    </r>
    <r>
      <rPr>
        <vertAlign val="superscript"/>
        <sz val="10"/>
        <color indexed="8"/>
        <rFont val="Times New Roman"/>
        <family val="1"/>
      </rPr>
      <t>4</t>
    </r>
  </si>
  <si>
    <t>(a)</t>
  </si>
  <si>
    <t>(b)</t>
  </si>
  <si>
    <t xml:space="preserve">(c) </t>
  </si>
  <si>
    <t>(d)</t>
  </si>
  <si>
    <t>(Sum Cols. a-d)</t>
  </si>
  <si>
    <r>
      <t xml:space="preserve">2011/12 General Fund Base                           </t>
    </r>
    <r>
      <rPr>
        <i/>
        <sz val="9"/>
        <color indexed="8"/>
        <rFont val="Times New Roman"/>
        <family val="1"/>
      </rPr>
      <t xml:space="preserve"> (after SUG Adjustments)</t>
    </r>
  </si>
  <si>
    <t>(Sum Cols. 2-5)</t>
  </si>
  <si>
    <t>(Attach. B, Col. 6)</t>
  </si>
  <si>
    <t>Financial Aid Adjustments</t>
  </si>
  <si>
    <t>General Fund</t>
  </si>
  <si>
    <t>GF Base Adjustments</t>
  </si>
  <si>
    <t>GF Expenditure Adjustments</t>
  </si>
  <si>
    <t>2011/12 Tuition Revenue Adjustment</t>
  </si>
  <si>
    <r>
      <t>Other Fee Revenue and SWP Reim.</t>
    </r>
    <r>
      <rPr>
        <vertAlign val="superscript"/>
        <sz val="10"/>
        <rFont val="Times New Roman"/>
        <family val="1"/>
      </rPr>
      <t>2</t>
    </r>
  </si>
  <si>
    <t>Tuition</t>
  </si>
  <si>
    <r>
      <t xml:space="preserve">2011/12 General Fund Base </t>
    </r>
    <r>
      <rPr>
        <sz val="9"/>
        <color indexed="8"/>
        <rFont val="Times New Roman"/>
        <family val="1"/>
      </rPr>
      <t xml:space="preserve">(after base budget adjustments) </t>
    </r>
  </si>
  <si>
    <t>(Cols. 1 + 6)</t>
  </si>
  <si>
    <t>Total GF Expenditure Adjustments</t>
  </si>
  <si>
    <r>
      <t xml:space="preserve">Change in Student Enrollment Patterns </t>
    </r>
    <r>
      <rPr>
        <vertAlign val="superscript"/>
        <sz val="10"/>
        <rFont val="Times New Roman"/>
        <family val="1"/>
      </rPr>
      <t>2</t>
    </r>
  </si>
  <si>
    <r>
      <t xml:space="preserve">Enrollment Increase from 326,290 to 331,716 FTES Baseline </t>
    </r>
    <r>
      <rPr>
        <vertAlign val="superscript"/>
        <sz val="10"/>
        <rFont val="Times New Roman"/>
        <family val="1"/>
      </rPr>
      <t>3</t>
    </r>
  </si>
  <si>
    <r>
      <rPr>
        <vertAlign val="superscript"/>
        <sz val="10"/>
        <color indexed="8"/>
        <rFont val="Times New Roman"/>
        <family val="1"/>
      </rPr>
      <t>4</t>
    </r>
    <r>
      <rPr>
        <sz val="10"/>
        <color indexed="8"/>
        <rFont val="Times New Roman"/>
        <family val="1"/>
      </rPr>
      <t xml:space="preserve"> Based on 2011/12 new space need @ $9.80 per square foot.</t>
    </r>
  </si>
  <si>
    <t>(=Col. 3)</t>
  </si>
  <si>
    <t>(Attach. B, Col. 7)</t>
  </si>
  <si>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Amounts are the sum of 1/3rd of Column 3;  1/3rd of Column 4; and $1,061/FTES (2011/12 MC SUG) times FTES growth.</t>
    </r>
  </si>
  <si>
    <t>Note:  for those campuses with 2011 self-support summer, summer-term resident FTES was moved to the academic year and nonresident FTES was eliminated for purposes of tuition revenue calculations.</t>
  </si>
  <si>
    <t>2011/12 Budget Adjustments</t>
  </si>
  <si>
    <r>
      <t xml:space="preserve">Projected Mandatory Costs </t>
    </r>
    <r>
      <rPr>
        <b/>
        <vertAlign val="superscript"/>
        <sz val="12"/>
        <rFont val="Times New Roman"/>
        <family val="1"/>
      </rPr>
      <t>3</t>
    </r>
  </si>
  <si>
    <t>Campus Reported Tuition Fee Revenue</t>
  </si>
  <si>
    <t>Tuition Fee Revenue</t>
  </si>
  <si>
    <t>Represents other CSU Operating Fund fee revenue besides tuition fee; the only reimbursement shown is lease bond payments in SWPs.</t>
  </si>
  <si>
    <t xml:space="preserve">Adjustments in SUG Set-Aside from Enrollment Increase, Full-Year Effect of 2010/11 Mid-Year and Summer Tuition Fee Rate Change </t>
  </si>
  <si>
    <t>Adjustments in SUG Set-Aside from Full-Year Effect of 2010/11 Mid-Year and Summer Tuition Fee Rate Changes</t>
  </si>
  <si>
    <t>2010/11 Tuition Fee Rate Change Applied to Lagging Summer Term for Rate Change Purposes</t>
  </si>
  <si>
    <t>B 11-01 2011/12 Tuition Fee Revenue Adjustment - before Financial Aid Set-Aside</t>
  </si>
  <si>
    <t>B 11-01 2011/12 Tuition Fee Revenue Adjustment - Net of Financial Aid</t>
  </si>
  <si>
    <t>(Cols. 3 + 4)</t>
  </si>
  <si>
    <t>2011/12 April Budget Allocations, General Fund Base Adjustments</t>
  </si>
  <si>
    <t>2011/12 April Budget Allocations Resident FTES</t>
  </si>
  <si>
    <r>
      <t xml:space="preserve">B 10-04 General Fund Allocation </t>
    </r>
    <r>
      <rPr>
        <sz val="9"/>
        <rFont val="Times New Roman"/>
        <family val="1"/>
      </rPr>
      <t>(with $106.6M Fed. Funds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>)</t>
    </r>
  </si>
  <si>
    <t>One-time $106,552,869 Federal Funds replaced General Fund in 2010/11.</t>
  </si>
  <si>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Total 2011/12 Resident FTES is 331,716.  The 2010/11 FTES baseline was 326,290 FTES. </t>
    </r>
  </si>
  <si>
    <t>ATTACHMENT A - 2011/12 Final Budget Allocations, Gross Budget Summary</t>
  </si>
  <si>
    <t>2011/12 CSU Final Budget Allocation Totals</t>
  </si>
  <si>
    <t xml:space="preserve">ATTACHMENT B - 2011/12 Final Budget Allocation Base Adjustments </t>
  </si>
  <si>
    <t xml:space="preserve">ATTACHMENT C - 2011/12 Final Budget Allocation, General Fund Expenditure Adjustments </t>
  </si>
  <si>
    <t>(4)</t>
  </si>
  <si>
    <t>(Cols. 6 + 8 + 9)</t>
  </si>
  <si>
    <t>(Cols. 1 + 10)</t>
  </si>
  <si>
    <t xml:space="preserve">ATTACHMENT E -  2011/12 Final Budget Allocations Enrollment </t>
  </si>
  <si>
    <r>
      <t>Net 10% AY Fee Increase Offset</t>
    </r>
    <r>
      <rPr>
        <sz val="8"/>
        <color indexed="8"/>
        <rFont val="Times New Roman"/>
        <family val="1"/>
      </rPr>
      <t xml:space="preserve"> (BOT RFIN 11-10-11) </t>
    </r>
  </si>
  <si>
    <t>ATTACHMENT D --</t>
  </si>
  <si>
    <t>2011/12 Final Budget Allocations, Tuition Fee Revenue Adjustments</t>
  </si>
  <si>
    <t>2011/12 Final Budget Allocations, Tuition Fee Revenue Adjustments (CONT.)</t>
  </si>
  <si>
    <t>Nonresident Students</t>
  </si>
  <si>
    <t>Nonresident Students (cont.)</t>
  </si>
  <si>
    <t>2011/12 Tuition Fee Revenue from 10% Rate Increase - BOT RFIN 11-10-11 (331,716 FTES)</t>
  </si>
  <si>
    <t>One-Third Financial Aid Set-Aside on 10% Rate Increase</t>
  </si>
  <si>
    <t>One-Third Financial Aid Set-Aside on 12% Rate Increase</t>
  </si>
  <si>
    <t>2011/12 Tuition Fee Revenue from 10% Rate Increase - BOT RFIN 11-10-11</t>
  </si>
  <si>
    <t>-1/3rd of Col. 9</t>
  </si>
  <si>
    <t>-1/3rd of Col. 13 &amp; 14</t>
  </si>
  <si>
    <t>-1/3rd of Col. 16</t>
  </si>
  <si>
    <t>-1/3rd of Col. 18</t>
  </si>
  <si>
    <t>Col. 1 + 11</t>
  </si>
  <si>
    <t>Col. 2 + 12</t>
  </si>
  <si>
    <t>Col. 3 + 13</t>
  </si>
  <si>
    <t>Col. 4 + 14</t>
  </si>
  <si>
    <t>Col. 6 + 15</t>
  </si>
  <si>
    <t xml:space="preserve">Col. 7 + 16 </t>
  </si>
  <si>
    <t xml:space="preserve">Col. 8 + 17 </t>
  </si>
  <si>
    <t>Col. 9 + 18</t>
  </si>
  <si>
    <t>Cols. 20+21+22+ 23+24+26+28</t>
  </si>
  <si>
    <t>Col. 25 + 27 + 29</t>
  </si>
  <si>
    <t>Cols. 30 + 31</t>
  </si>
  <si>
    <r>
      <rPr>
        <vertAlign val="superscript"/>
        <sz val="10"/>
        <color indexed="8"/>
        <rFont val="Times New Roman"/>
        <family val="1"/>
      </rPr>
      <t xml:space="preserve">2 </t>
    </r>
    <r>
      <rPr>
        <sz val="10"/>
        <color indexed="8"/>
        <rFont val="Times New Roman"/>
        <family val="1"/>
      </rPr>
      <t xml:space="preserve">Represents change in actual student enrollment patterns from 2008/09 to 2009/10 (past-year actual). </t>
    </r>
  </si>
  <si>
    <t>(Attach. D, Col. 30)</t>
  </si>
  <si>
    <r>
      <t xml:space="preserve">ATTACHMENT F - 2011/12 </t>
    </r>
    <r>
      <rPr>
        <b/>
        <sz val="13"/>
        <color indexed="8"/>
        <rFont val="Times New Roman"/>
        <family val="1"/>
      </rPr>
      <t xml:space="preserve">Final Budget Allocations, State University Grant (SUG) Adjustment </t>
    </r>
  </si>
  <si>
    <r>
      <rPr>
        <vertAlign val="superscript"/>
        <sz val="10"/>
        <color indexed="8"/>
        <rFont val="Times New Roman"/>
        <family val="1"/>
      </rPr>
      <t xml:space="preserve">3 </t>
    </r>
    <r>
      <rPr>
        <sz val="10"/>
        <color indexed="8"/>
        <rFont val="Times New Roman"/>
        <family val="1"/>
      </rPr>
      <t xml:space="preserve">Mandatory costs provided for information only in 2011/12 final budget allocations.  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</si>
  <si>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State retirement savings ($30,424,775) resulting from lower mid-year 2010/11 rates held in systemwide provisions.</t>
    </r>
  </si>
  <si>
    <r>
      <t>Final Budget</t>
    </r>
    <r>
      <rPr>
        <b/>
        <sz val="11"/>
        <color indexed="10"/>
        <rFont val="Times New Roman"/>
        <family val="1"/>
      </rPr>
      <t xml:space="preserve"> </t>
    </r>
    <r>
      <rPr>
        <b/>
        <i/>
        <sz val="11"/>
        <rFont val="Times New Roman"/>
        <family val="1"/>
      </rPr>
      <t>$650</t>
    </r>
    <r>
      <rPr>
        <b/>
        <sz val="11"/>
        <color indexed="8"/>
        <rFont val="Times New Roman"/>
        <family val="1"/>
      </rPr>
      <t xml:space="preserve"> Million Reduction</t>
    </r>
  </si>
  <si>
    <t>(Attach. D / Col. 31)</t>
  </si>
  <si>
    <t>Tuition Fee Revenue Financial Aid Set-Aside</t>
  </si>
  <si>
    <t>Financial Aid / SUG Distribution Based on Need</t>
  </si>
  <si>
    <r>
      <t xml:space="preserve">Total </t>
    </r>
    <r>
      <rPr>
        <i/>
        <sz val="10"/>
        <rFont val="Times New Roman"/>
        <family val="1"/>
      </rPr>
      <t>$650</t>
    </r>
    <r>
      <rPr>
        <i/>
        <sz val="10"/>
        <color indexed="8"/>
        <rFont val="Times New Roman"/>
        <family val="1"/>
      </rPr>
      <t xml:space="preserve"> Million Reduction</t>
    </r>
  </si>
  <si>
    <r>
      <t xml:space="preserve">Adjustments in SUG Set-Aside from Enrollment Increase, Full-Year Effect of 2010/11 Mid-Year and Summer Tuition Fee Rate Changes </t>
    </r>
    <r>
      <rPr>
        <vertAlign val="superscript"/>
        <sz val="9"/>
        <rFont val="Times New Roman"/>
        <family val="1"/>
      </rPr>
      <t>4</t>
    </r>
  </si>
  <si>
    <t>(Attach. C, Col. 10)</t>
  </si>
  <si>
    <t>Col. 10 + 19</t>
  </si>
  <si>
    <t>Coded Memo B 2011-02, July 14, 2011</t>
  </si>
  <si>
    <r>
      <t xml:space="preserve">Net 12% AY Fee Increase Offset </t>
    </r>
    <r>
      <rPr>
        <i/>
        <sz val="8"/>
        <color indexed="8"/>
        <rFont val="Times New Roman"/>
        <family val="1"/>
      </rPr>
      <t xml:space="preserve">(BOT RFIN 07-11-07) </t>
    </r>
  </si>
  <si>
    <t>2011/12 Tuition Fee Revenue from 12% Rate Increase - BOT RFIN 07-11-07</t>
  </si>
  <si>
    <t>2011/12 Tuition Fee Revenue from 12% Rate Increase - BOT RFIN 07-11-07 (331,716 FTES)</t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</si>
  <si>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Includes operating fee revenue interest assessment adjustment ($3,714,000) in Systemwide Provisions (SWP); transfers from SWPs to CSU Bakersfield to fund Lancaster ($85,000) and Maritime Academy for ship fuel ($1,500,000); SWP lease revenue bonds adjustments (-$9,961,000 in 2010/11 and $182,000 in 2011/12), dental annuitants funding adjustment ($977,000), and deferred maintenance debt retirement (-$2,309,000). </t>
    </r>
  </si>
  <si>
    <t xml:space="preserve">B 2011-02 Final Budget Allocations Total SUG Funding Available / 100% Distributed Based on Need </t>
  </si>
  <si>
    <t xml:space="preserve">B 2011-02 Final Budget Allocations SUG Increase                   </t>
  </si>
  <si>
    <t>2011/12 SUG Adjustment based on 331,716 Resident FTES with Revenue from Tuition Rate Increases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</si>
</sst>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_(* #,##0_);_(* \(#,##0\);_(* &quot;-&quot;??_);_(@_)"/>
    <numFmt numFmtId="167" formatCode="mmm\-yyyy"/>
    <numFmt numFmtId="168" formatCode="0.0000%"/>
    <numFmt numFmtId="169" formatCode="0.00000%"/>
    <numFmt numFmtId="170" formatCode="0.000%"/>
    <numFmt numFmtId="171" formatCode="#,##0.0_);\(#,##0.0\)"/>
  </numFmts>
  <fonts count="112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i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8"/>
      <color indexed="8"/>
      <name val="Times New Roman"/>
      <family val="1"/>
    </font>
    <font>
      <b/>
      <sz val="13"/>
      <name val="Times New Roman"/>
      <family val="1"/>
    </font>
    <font>
      <vertAlign val="superscript"/>
      <sz val="11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sz val="12"/>
      <color indexed="8"/>
      <name val="Times New Roman"/>
      <family val="2"/>
    </font>
    <font>
      <vertAlign val="superscript"/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3"/>
      <color indexed="8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vertAlign val="superscript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i/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b/>
      <vertAlign val="superscript"/>
      <sz val="11"/>
      <name val="Times New Roman"/>
      <family val="1"/>
    </font>
    <font>
      <sz val="8"/>
      <color indexed="8"/>
      <name val="Times New Roman"/>
      <family val="1"/>
    </font>
    <font>
      <sz val="11"/>
      <color indexed="10"/>
      <name val="Times New Roman"/>
      <family val="1"/>
    </font>
    <font>
      <sz val="7"/>
      <color indexed="10"/>
      <name val="Times New Roman"/>
      <family val="1"/>
    </font>
    <font>
      <i/>
      <sz val="9"/>
      <color indexed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"/>
      <color indexed="8"/>
      <name val="Times New Roman"/>
      <family val="1"/>
    </font>
    <font>
      <sz val="12"/>
      <color indexed="9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i/>
      <sz val="10"/>
      <color indexed="10"/>
      <name val="Times New Roman"/>
      <family val="1"/>
    </font>
    <font>
      <i/>
      <sz val="11"/>
      <color indexed="10"/>
      <name val="Times New Roman"/>
      <family val="1"/>
    </font>
    <font>
      <i/>
      <sz val="8"/>
      <color indexed="10"/>
      <name val="Times New Roman"/>
      <family val="1"/>
    </font>
    <font>
      <b/>
      <i/>
      <sz val="11"/>
      <name val="Times New Roman"/>
      <family val="1"/>
    </font>
    <font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vertAlign val="superscript"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3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b/>
      <i/>
      <sz val="11"/>
      <color rgb="FFFF0000"/>
      <name val="Times New Roman"/>
      <family val="1"/>
    </font>
    <font>
      <i/>
      <sz val="8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b/>
      <i/>
      <sz val="11"/>
      <color theme="1"/>
      <name val="Times New Roman"/>
      <family val="1"/>
    </font>
    <font>
      <sz val="12"/>
      <color theme="0"/>
      <name val="Times New Roman"/>
      <family val="1"/>
    </font>
    <font>
      <sz val="10"/>
      <color rgb="FFFF0000"/>
      <name val="Times New Roman"/>
      <family val="1"/>
    </font>
    <font>
      <i/>
      <sz val="11"/>
      <color rgb="FFFF0000"/>
      <name val="Times New Roman"/>
      <family val="1"/>
    </font>
    <font>
      <i/>
      <sz val="10"/>
      <color rgb="FFFF0000"/>
      <name val="Times New Roman"/>
      <family val="1"/>
    </font>
    <font>
      <i/>
      <sz val="8"/>
      <color rgb="FFFF0000"/>
      <name val="Times New Roman"/>
      <family val="1"/>
    </font>
    <font>
      <sz val="11"/>
      <color rgb="FFFF0000"/>
      <name val="Times New Roman"/>
      <family val="1"/>
    </font>
    <font>
      <i/>
      <sz val="10"/>
      <color theme="1"/>
      <name val="Times New Roman"/>
      <family val="1"/>
    </font>
    <font>
      <i/>
      <sz val="12"/>
      <color theme="1"/>
      <name val="Times New Roman"/>
      <family val="1"/>
    </font>
    <font>
      <sz val="7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/>
      <right/>
      <top style="thin"/>
      <bottom style="double"/>
    </border>
    <border>
      <left style="thin"/>
      <right/>
      <top style="thin"/>
      <bottom style="medium"/>
    </border>
    <border>
      <left/>
      <right style="thin"/>
      <top style="thin"/>
      <bottom style="double"/>
    </border>
    <border>
      <left/>
      <right style="thin"/>
      <top style="thin"/>
      <bottom style="medium"/>
    </border>
    <border>
      <left/>
      <right style="medium"/>
      <top/>
      <bottom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/>
      <right/>
      <top style="medium"/>
      <bottom style="thin"/>
    </border>
    <border>
      <left/>
      <right style="medium"/>
      <top style="medium"/>
      <bottom/>
    </border>
    <border>
      <left/>
      <right style="thin"/>
      <top style="thin"/>
      <bottom style="thin"/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0" applyNumberFormat="0" applyBorder="0" applyAlignment="0" applyProtection="0"/>
    <xf numFmtId="0" fontId="73" fillId="27" borderId="1" applyNumberFormat="0" applyAlignment="0" applyProtection="0"/>
    <xf numFmtId="0" fontId="7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30" borderId="1" applyNumberFormat="0" applyAlignment="0" applyProtection="0"/>
    <xf numFmtId="0" fontId="82" fillId="0" borderId="6" applyNumberFormat="0" applyFill="0" applyAlignment="0" applyProtection="0"/>
    <xf numFmtId="0" fontId="8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8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489">
    <xf numFmtId="0" fontId="0" fillId="0" borderId="0" xfId="0" applyAlignment="1">
      <alignment/>
    </xf>
    <xf numFmtId="37" fontId="0" fillId="0" borderId="0" xfId="0" applyNumberFormat="1" applyFill="1" applyAlignment="1">
      <alignment/>
    </xf>
    <xf numFmtId="37" fontId="4" fillId="0" borderId="0" xfId="0" applyNumberFormat="1" applyFont="1" applyFill="1" applyAlignment="1">
      <alignment/>
    </xf>
    <xf numFmtId="37" fontId="2" fillId="0" borderId="10" xfId="0" applyNumberFormat="1" applyFont="1" applyFill="1" applyBorder="1" applyAlignment="1">
      <alignment horizontal="center" vertical="center"/>
    </xf>
    <xf numFmtId="37" fontId="0" fillId="0" borderId="0" xfId="0" applyNumberFormat="1" applyFill="1" applyAlignment="1">
      <alignment vertical="center"/>
    </xf>
    <xf numFmtId="37" fontId="2" fillId="0" borderId="0" xfId="0" applyNumberFormat="1" applyFont="1" applyFill="1" applyBorder="1" applyAlignment="1">
      <alignment horizontal="center" vertical="center"/>
    </xf>
    <xf numFmtId="37" fontId="3" fillId="0" borderId="0" xfId="0" applyNumberFormat="1" applyFont="1" applyFill="1" applyAlignment="1">
      <alignment horizontal="center" vertical="center" wrapText="1"/>
    </xf>
    <xf numFmtId="5" fontId="0" fillId="0" borderId="0" xfId="0" applyNumberFormat="1" applyFill="1" applyAlignment="1">
      <alignment/>
    </xf>
    <xf numFmtId="37" fontId="0" fillId="0" borderId="0" xfId="0" applyNumberFormat="1" applyFill="1" applyBorder="1" applyAlignment="1">
      <alignment/>
    </xf>
    <xf numFmtId="5" fontId="0" fillId="0" borderId="0" xfId="0" applyNumberFormat="1" applyFill="1" applyBorder="1" applyAlignment="1">
      <alignment/>
    </xf>
    <xf numFmtId="37" fontId="0" fillId="0" borderId="0" xfId="0" applyNumberFormat="1" applyFont="1" applyFill="1" applyAlignment="1">
      <alignment/>
    </xf>
    <xf numFmtId="5" fontId="0" fillId="0" borderId="11" xfId="0" applyNumberFormat="1" applyFill="1" applyBorder="1" applyAlignment="1">
      <alignment/>
    </xf>
    <xf numFmtId="5" fontId="0" fillId="0" borderId="12" xfId="0" applyNumberFormat="1" applyFill="1" applyBorder="1" applyAlignment="1">
      <alignment/>
    </xf>
    <xf numFmtId="37" fontId="0" fillId="0" borderId="10" xfId="0" applyNumberFormat="1" applyFill="1" applyBorder="1" applyAlignment="1">
      <alignment horizontal="center" wrapText="1"/>
    </xf>
    <xf numFmtId="37" fontId="0" fillId="0" borderId="0" xfId="0" applyNumberFormat="1" applyFill="1" applyAlignment="1">
      <alignment horizontal="center" wrapText="1"/>
    </xf>
    <xf numFmtId="37" fontId="3" fillId="0" borderId="0" xfId="0" applyNumberFormat="1" applyFont="1" applyFill="1" applyBorder="1" applyAlignment="1">
      <alignment horizontal="center" vertical="center" wrapText="1"/>
    </xf>
    <xf numFmtId="37" fontId="9" fillId="0" borderId="0" xfId="0" applyNumberFormat="1" applyFont="1" applyFill="1" applyAlignment="1">
      <alignment horizontal="center" vertical="center" wrapText="1"/>
    </xf>
    <xf numFmtId="37" fontId="6" fillId="0" borderId="0" xfId="0" applyNumberFormat="1" applyFont="1" applyFill="1" applyAlignment="1">
      <alignment horizontal="center" vertical="center" wrapText="1"/>
    </xf>
    <xf numFmtId="37" fontId="6" fillId="0" borderId="0" xfId="0" applyNumberFormat="1" applyFont="1" applyFill="1" applyBorder="1" applyAlignment="1">
      <alignment horizontal="center" vertical="center" wrapText="1"/>
    </xf>
    <xf numFmtId="5" fontId="8" fillId="0" borderId="12" xfId="0" applyNumberFormat="1" applyFont="1" applyFill="1" applyBorder="1" applyAlignment="1">
      <alignment/>
    </xf>
    <xf numFmtId="37" fontId="5" fillId="0" borderId="0" xfId="0" applyNumberFormat="1" applyFont="1" applyFill="1" applyAlignment="1">
      <alignment/>
    </xf>
    <xf numFmtId="37" fontId="5" fillId="0" borderId="0" xfId="0" applyNumberFormat="1" applyFont="1" applyFill="1" applyAlignment="1">
      <alignment horizontal="center"/>
    </xf>
    <xf numFmtId="37" fontId="0" fillId="0" borderId="0" xfId="0" applyNumberFormat="1" applyFont="1" applyFill="1" applyBorder="1" applyAlignment="1">
      <alignment/>
    </xf>
    <xf numFmtId="5" fontId="0" fillId="0" borderId="0" xfId="0" applyNumberFormat="1" applyFont="1" applyFill="1" applyBorder="1" applyAlignment="1">
      <alignment/>
    </xf>
    <xf numFmtId="37" fontId="0" fillId="0" borderId="0" xfId="0" applyNumberFormat="1" applyFill="1" applyAlignment="1">
      <alignment vertical="top"/>
    </xf>
    <xf numFmtId="37" fontId="5" fillId="0" borderId="0" xfId="0" applyNumberFormat="1" applyFont="1" applyFill="1" applyBorder="1" applyAlignment="1">
      <alignment horizontal="center"/>
    </xf>
    <xf numFmtId="37" fontId="11" fillId="0" borderId="0" xfId="0" applyNumberFormat="1" applyFont="1" applyFill="1" applyAlignment="1">
      <alignment/>
    </xf>
    <xf numFmtId="37" fontId="7" fillId="0" borderId="0" xfId="0" applyNumberFormat="1" applyFont="1" applyFill="1" applyBorder="1" applyAlignment="1">
      <alignment horizontal="left" wrapText="1"/>
    </xf>
    <xf numFmtId="37" fontId="12" fillId="0" borderId="13" xfId="0" applyNumberFormat="1" applyFont="1" applyFill="1" applyBorder="1" applyAlignment="1">
      <alignment horizontal="center" wrapText="1"/>
    </xf>
    <xf numFmtId="37" fontId="0" fillId="0" borderId="0" xfId="0" applyNumberFormat="1" applyFill="1" applyBorder="1" applyAlignment="1">
      <alignment horizontal="center" wrapText="1"/>
    </xf>
    <xf numFmtId="37" fontId="8" fillId="0" borderId="14" xfId="0" applyNumberFormat="1" applyFont="1" applyFill="1" applyBorder="1" applyAlignment="1">
      <alignment horizontal="center" wrapText="1"/>
    </xf>
    <xf numFmtId="37" fontId="12" fillId="0" borderId="0" xfId="0" applyNumberFormat="1" applyFont="1" applyFill="1" applyBorder="1" applyAlignment="1">
      <alignment horizontal="center" wrapText="1"/>
    </xf>
    <xf numFmtId="37" fontId="0" fillId="0" borderId="10" xfId="0" applyNumberFormat="1" applyFont="1" applyFill="1" applyBorder="1" applyAlignment="1">
      <alignment horizontal="center" wrapText="1"/>
    </xf>
    <xf numFmtId="5" fontId="11" fillId="0" borderId="11" xfId="0" applyNumberFormat="1" applyFont="1" applyFill="1" applyBorder="1" applyAlignment="1">
      <alignment/>
    </xf>
    <xf numFmtId="5" fontId="11" fillId="0" borderId="12" xfId="0" applyNumberFormat="1" applyFont="1" applyFill="1" applyBorder="1" applyAlignment="1">
      <alignment/>
    </xf>
    <xf numFmtId="37" fontId="2" fillId="0" borderId="10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vertical="center"/>
    </xf>
    <xf numFmtId="37" fontId="11" fillId="0" borderId="0" xfId="0" applyNumberFormat="1" applyFont="1" applyFill="1" applyAlignment="1">
      <alignment/>
    </xf>
    <xf numFmtId="5" fontId="11" fillId="0" borderId="11" xfId="0" applyNumberFormat="1" applyFont="1" applyFill="1" applyBorder="1" applyAlignment="1">
      <alignment/>
    </xf>
    <xf numFmtId="5" fontId="11" fillId="0" borderId="0" xfId="0" applyNumberFormat="1" applyFont="1" applyFill="1" applyBorder="1" applyAlignment="1">
      <alignment/>
    </xf>
    <xf numFmtId="37" fontId="11" fillId="0" borderId="0" xfId="0" applyNumberFormat="1" applyFont="1" applyFill="1" applyBorder="1" applyAlignment="1">
      <alignment/>
    </xf>
    <xf numFmtId="5" fontId="11" fillId="0" borderId="0" xfId="0" applyNumberFormat="1" applyFont="1" applyFill="1" applyAlignment="1">
      <alignment/>
    </xf>
    <xf numFmtId="5" fontId="11" fillId="0" borderId="12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 vertical="center"/>
    </xf>
    <xf numFmtId="37" fontId="0" fillId="0" borderId="0" xfId="0" applyNumberFormat="1" applyFill="1" applyBorder="1" applyAlignment="1">
      <alignment vertical="center"/>
    </xf>
    <xf numFmtId="5" fontId="11" fillId="0" borderId="0" xfId="0" applyNumberFormat="1" applyFont="1" applyFill="1" applyAlignment="1">
      <alignment/>
    </xf>
    <xf numFmtId="5" fontId="11" fillId="0" borderId="13" xfId="0" applyNumberFormat="1" applyFont="1" applyFill="1" applyBorder="1" applyAlignment="1">
      <alignment/>
    </xf>
    <xf numFmtId="37" fontId="11" fillId="0" borderId="13" xfId="0" applyNumberFormat="1" applyFont="1" applyFill="1" applyBorder="1" applyAlignment="1">
      <alignment/>
    </xf>
    <xf numFmtId="5" fontId="11" fillId="0" borderId="15" xfId="0" applyNumberFormat="1" applyFont="1" applyFill="1" applyBorder="1" applyAlignment="1">
      <alignment/>
    </xf>
    <xf numFmtId="5" fontId="11" fillId="0" borderId="16" xfId="0" applyNumberFormat="1" applyFont="1" applyFill="1" applyBorder="1" applyAlignment="1">
      <alignment/>
    </xf>
    <xf numFmtId="37" fontId="13" fillId="0" borderId="0" xfId="0" applyNumberFormat="1" applyFont="1" applyFill="1" applyAlignment="1">
      <alignment/>
    </xf>
    <xf numFmtId="37" fontId="9" fillId="0" borderId="0" xfId="0" applyNumberFormat="1" applyFont="1" applyFill="1" applyBorder="1" applyAlignment="1" quotePrefix="1">
      <alignment horizontal="center" vertical="center" wrapText="1"/>
    </xf>
    <xf numFmtId="37" fontId="14" fillId="0" borderId="0" xfId="0" applyNumberFormat="1" applyFon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37" fontId="0" fillId="0" borderId="0" xfId="0" applyNumberFormat="1" applyFill="1" applyAlignment="1">
      <alignment horizontal="center" vertical="top"/>
    </xf>
    <xf numFmtId="37" fontId="10" fillId="0" borderId="0" xfId="0" applyNumberFormat="1" applyFont="1" applyFill="1" applyAlignment="1">
      <alignment/>
    </xf>
    <xf numFmtId="37" fontId="10" fillId="0" borderId="0" xfId="0" applyNumberFormat="1" applyFont="1" applyFill="1" applyBorder="1" applyAlignment="1">
      <alignment horizontal="center"/>
    </xf>
    <xf numFmtId="37" fontId="10" fillId="0" borderId="0" xfId="0" applyNumberFormat="1" applyFont="1" applyFill="1" applyAlignment="1">
      <alignment horizontal="center"/>
    </xf>
    <xf numFmtId="37" fontId="88" fillId="0" borderId="0" xfId="0" applyNumberFormat="1" applyFont="1" applyFill="1" applyAlignment="1">
      <alignment/>
    </xf>
    <xf numFmtId="5" fontId="11" fillId="0" borderId="0" xfId="0" applyNumberFormat="1" applyFont="1" applyFill="1" applyBorder="1" applyAlignment="1">
      <alignment/>
    </xf>
    <xf numFmtId="37" fontId="11" fillId="0" borderId="0" xfId="0" applyNumberFormat="1" applyFont="1" applyFill="1" applyBorder="1" applyAlignment="1">
      <alignment/>
    </xf>
    <xf numFmtId="164" fontId="0" fillId="0" borderId="0" xfId="86" applyNumberFormat="1" applyFont="1" applyFill="1" applyAlignment="1">
      <alignment/>
    </xf>
    <xf numFmtId="0" fontId="13" fillId="0" borderId="0" xfId="73" applyFont="1">
      <alignment/>
      <protection/>
    </xf>
    <xf numFmtId="0" fontId="5" fillId="0" borderId="0" xfId="73" applyFont="1">
      <alignment/>
      <protection/>
    </xf>
    <xf numFmtId="0" fontId="5" fillId="0" borderId="0" xfId="73" applyFont="1" applyBorder="1">
      <alignment/>
      <protection/>
    </xf>
    <xf numFmtId="0" fontId="17" fillId="0" borderId="0" xfId="73" applyFont="1">
      <alignment/>
      <protection/>
    </xf>
    <xf numFmtId="37" fontId="4" fillId="0" borderId="0" xfId="73" applyNumberFormat="1" applyFont="1" applyFill="1" applyBorder="1" applyAlignment="1">
      <alignment horizontal="center" vertical="center"/>
      <protection/>
    </xf>
    <xf numFmtId="37" fontId="89" fillId="0" borderId="0" xfId="73" applyNumberFormat="1" applyFont="1" applyFill="1" applyBorder="1" applyAlignment="1">
      <alignment horizontal="center" vertical="center"/>
      <protection/>
    </xf>
    <xf numFmtId="37" fontId="4" fillId="0" borderId="0" xfId="73" applyNumberFormat="1" applyFont="1" applyFill="1" applyBorder="1" applyAlignment="1">
      <alignment horizontal="center" wrapText="1"/>
      <protection/>
    </xf>
    <xf numFmtId="0" fontId="4" fillId="0" borderId="0" xfId="73" applyFont="1" applyBorder="1" applyAlignment="1">
      <alignment horizontal="center" wrapText="1"/>
      <protection/>
    </xf>
    <xf numFmtId="37" fontId="17" fillId="0" borderId="0" xfId="73" applyNumberFormat="1" applyFont="1" applyFill="1" applyBorder="1" applyAlignment="1">
      <alignment horizontal="center" vertical="center" wrapText="1"/>
      <protection/>
    </xf>
    <xf numFmtId="5" fontId="5" fillId="0" borderId="0" xfId="73" applyNumberFormat="1" applyFont="1" applyFill="1" applyBorder="1">
      <alignment/>
      <protection/>
    </xf>
    <xf numFmtId="37" fontId="5" fillId="0" borderId="0" xfId="73" applyNumberFormat="1" applyFont="1" applyFill="1" applyBorder="1">
      <alignment/>
      <protection/>
    </xf>
    <xf numFmtId="166" fontId="5" fillId="0" borderId="0" xfId="48" applyNumberFormat="1" applyFont="1" applyBorder="1" applyAlignment="1">
      <alignment/>
    </xf>
    <xf numFmtId="166" fontId="5" fillId="0" borderId="17" xfId="48" applyNumberFormat="1" applyFont="1" applyBorder="1" applyAlignment="1">
      <alignment/>
    </xf>
    <xf numFmtId="5" fontId="4" fillId="0" borderId="0" xfId="73" applyNumberFormat="1" applyFont="1" applyFill="1" applyBorder="1">
      <alignment/>
      <protection/>
    </xf>
    <xf numFmtId="0" fontId="4" fillId="0" borderId="0" xfId="73" applyFont="1" applyBorder="1">
      <alignment/>
      <protection/>
    </xf>
    <xf numFmtId="37" fontId="90" fillId="0" borderId="0" xfId="0" applyNumberFormat="1" applyFont="1" applyFill="1" applyAlignment="1">
      <alignment/>
    </xf>
    <xf numFmtId="37" fontId="16" fillId="0" borderId="0" xfId="0" applyNumberFormat="1" applyFont="1" applyFill="1" applyAlignment="1" quotePrefix="1">
      <alignment horizontal="right"/>
    </xf>
    <xf numFmtId="0" fontId="91" fillId="0" borderId="0" xfId="73" applyFont="1">
      <alignment/>
      <protection/>
    </xf>
    <xf numFmtId="37" fontId="92" fillId="0" borderId="0" xfId="0" applyNumberFormat="1" applyFont="1" applyFill="1" applyAlignment="1">
      <alignment/>
    </xf>
    <xf numFmtId="37" fontId="93" fillId="0" borderId="0" xfId="0" applyNumberFormat="1" applyFont="1" applyFill="1" applyAlignment="1">
      <alignment horizontal="left" vertical="top" wrapText="1"/>
    </xf>
    <xf numFmtId="37" fontId="0" fillId="0" borderId="10" xfId="0" applyNumberFormat="1" applyFont="1" applyFill="1" applyBorder="1" applyAlignment="1">
      <alignment vertical="center"/>
    </xf>
    <xf numFmtId="167" fontId="4" fillId="0" borderId="0" xfId="73" applyNumberFormat="1" applyFont="1" applyBorder="1" applyAlignment="1">
      <alignment horizontal="right" wrapText="1"/>
      <protection/>
    </xf>
    <xf numFmtId="37" fontId="4" fillId="0" borderId="0" xfId="70" applyNumberFormat="1" applyFont="1" applyFill="1" applyBorder="1" applyAlignment="1">
      <alignment horizontal="center" vertical="center"/>
      <protection/>
    </xf>
    <xf numFmtId="37" fontId="0" fillId="0" borderId="10" xfId="0" applyNumberFormat="1" applyFont="1" applyFill="1" applyBorder="1" applyAlignment="1">
      <alignment horizontal="center" wrapText="1"/>
    </xf>
    <xf numFmtId="0" fontId="90" fillId="0" borderId="0" xfId="70" applyFont="1" applyFill="1" applyBorder="1" applyAlignment="1">
      <alignment/>
      <protection/>
    </xf>
    <xf numFmtId="0" fontId="94" fillId="0" borderId="0" xfId="70" applyFont="1" applyFill="1" applyBorder="1">
      <alignment/>
      <protection/>
    </xf>
    <xf numFmtId="0" fontId="94" fillId="0" borderId="0" xfId="70" applyFont="1" applyFill="1" applyBorder="1" applyAlignment="1">
      <alignment horizontal="center"/>
      <protection/>
    </xf>
    <xf numFmtId="37" fontId="95" fillId="0" borderId="0" xfId="70" applyNumberFormat="1" applyFont="1" applyFill="1" applyBorder="1" applyAlignment="1">
      <alignment horizontal="center"/>
      <protection/>
    </xf>
    <xf numFmtId="0" fontId="94" fillId="0" borderId="18" xfId="70" applyFont="1" applyFill="1" applyBorder="1">
      <alignment/>
      <protection/>
    </xf>
    <xf numFmtId="0" fontId="94" fillId="0" borderId="19" xfId="70" applyFont="1" applyFill="1" applyBorder="1">
      <alignment/>
      <protection/>
    </xf>
    <xf numFmtId="0" fontId="94" fillId="0" borderId="19" xfId="70" applyFont="1" applyFill="1" applyBorder="1" applyAlignment="1" quotePrefix="1">
      <alignment horizontal="centerContinuous"/>
      <protection/>
    </xf>
    <xf numFmtId="0" fontId="94" fillId="0" borderId="20" xfId="70" applyFont="1" applyFill="1" applyBorder="1" applyAlignment="1">
      <alignment horizontal="center" wrapText="1"/>
      <protection/>
    </xf>
    <xf numFmtId="0" fontId="93" fillId="0" borderId="10" xfId="70" applyFont="1" applyFill="1" applyBorder="1" applyAlignment="1">
      <alignment/>
      <protection/>
    </xf>
    <xf numFmtId="0" fontId="93" fillId="0" borderId="10" xfId="70" applyFont="1" applyFill="1" applyBorder="1" applyAlignment="1" quotePrefix="1">
      <alignment horizontal="centerContinuous" wrapText="1"/>
      <protection/>
    </xf>
    <xf numFmtId="0" fontId="93" fillId="0" borderId="21" xfId="70" applyFont="1" applyFill="1" applyBorder="1" applyAlignment="1" quotePrefix="1">
      <alignment horizontal="centerContinuous" wrapText="1"/>
      <protection/>
    </xf>
    <xf numFmtId="0" fontId="94" fillId="0" borderId="0" xfId="70" applyFont="1" applyFill="1" applyBorder="1" applyAlignment="1">
      <alignment/>
      <protection/>
    </xf>
    <xf numFmtId="0" fontId="93" fillId="0" borderId="0" xfId="70" applyFont="1" applyFill="1" applyBorder="1" applyAlignment="1">
      <alignment/>
      <protection/>
    </xf>
    <xf numFmtId="0" fontId="93" fillId="0" borderId="0" xfId="70" applyFont="1" applyFill="1" applyBorder="1">
      <alignment/>
      <protection/>
    </xf>
    <xf numFmtId="0" fontId="93" fillId="0" borderId="0" xfId="70" applyFont="1" applyFill="1" applyBorder="1" applyAlignment="1">
      <alignment horizontal="center"/>
      <protection/>
    </xf>
    <xf numFmtId="0" fontId="93" fillId="0" borderId="22" xfId="70" applyFont="1" applyFill="1" applyBorder="1" applyAlignment="1">
      <alignment horizontal="center"/>
      <protection/>
    </xf>
    <xf numFmtId="0" fontId="93" fillId="0" borderId="23" xfId="70" applyFont="1" applyFill="1" applyBorder="1" applyAlignment="1">
      <alignment horizontal="center"/>
      <protection/>
    </xf>
    <xf numFmtId="0" fontId="94" fillId="0" borderId="23" xfId="70" applyFont="1" applyFill="1" applyBorder="1">
      <alignment/>
      <protection/>
    </xf>
    <xf numFmtId="0" fontId="93" fillId="0" borderId="22" xfId="70" applyFont="1" applyFill="1" applyBorder="1">
      <alignment/>
      <protection/>
    </xf>
    <xf numFmtId="0" fontId="93" fillId="0" borderId="22" xfId="70" applyFont="1" applyFill="1" applyBorder="1" applyAlignment="1" quotePrefix="1">
      <alignment horizontal="center"/>
      <protection/>
    </xf>
    <xf numFmtId="165" fontId="93" fillId="0" borderId="22" xfId="70" applyNumberFormat="1" applyFont="1" applyFill="1" applyBorder="1">
      <alignment/>
      <protection/>
    </xf>
    <xf numFmtId="168" fontId="93" fillId="0" borderId="0" xfId="70" applyNumberFormat="1" applyFont="1" applyFill="1" applyBorder="1" applyAlignment="1">
      <alignment horizontal="center"/>
      <protection/>
    </xf>
    <xf numFmtId="168" fontId="93" fillId="0" borderId="23" xfId="70" applyNumberFormat="1" applyFont="1" applyFill="1" applyBorder="1" applyAlignment="1">
      <alignment horizontal="center"/>
      <protection/>
    </xf>
    <xf numFmtId="169" fontId="93" fillId="0" borderId="23" xfId="70" applyNumberFormat="1" applyFont="1" applyFill="1" applyBorder="1" applyAlignment="1">
      <alignment horizontal="center"/>
      <protection/>
    </xf>
    <xf numFmtId="5" fontId="93" fillId="0" borderId="22" xfId="70" applyNumberFormat="1" applyFont="1" applyFill="1" applyBorder="1">
      <alignment/>
      <protection/>
    </xf>
    <xf numFmtId="169" fontId="93" fillId="0" borderId="0" xfId="70" applyNumberFormat="1" applyFont="1" applyFill="1" applyBorder="1" applyAlignment="1">
      <alignment horizontal="center"/>
      <protection/>
    </xf>
    <xf numFmtId="169" fontId="93" fillId="0" borderId="22" xfId="70" applyNumberFormat="1" applyFont="1" applyFill="1" applyBorder="1" applyAlignment="1">
      <alignment horizontal="center"/>
      <protection/>
    </xf>
    <xf numFmtId="5" fontId="95" fillId="0" borderId="0" xfId="70" applyNumberFormat="1" applyFont="1" applyFill="1" applyBorder="1">
      <alignment/>
      <protection/>
    </xf>
    <xf numFmtId="37" fontId="93" fillId="0" borderId="0" xfId="70" applyNumberFormat="1" applyFont="1" applyFill="1" applyBorder="1">
      <alignment/>
      <protection/>
    </xf>
    <xf numFmtId="5" fontId="93" fillId="0" borderId="0" xfId="70" applyNumberFormat="1" applyFont="1" applyFill="1" applyBorder="1">
      <alignment/>
      <protection/>
    </xf>
    <xf numFmtId="37" fontId="95" fillId="0" borderId="0" xfId="70" applyNumberFormat="1" applyFont="1" applyFill="1" applyBorder="1">
      <alignment/>
      <protection/>
    </xf>
    <xf numFmtId="3" fontId="93" fillId="0" borderId="0" xfId="70" applyNumberFormat="1" applyFont="1" applyFill="1" applyBorder="1">
      <alignment/>
      <protection/>
    </xf>
    <xf numFmtId="170" fontId="93" fillId="0" borderId="0" xfId="70" applyNumberFormat="1" applyFont="1" applyFill="1" applyBorder="1">
      <alignment/>
      <protection/>
    </xf>
    <xf numFmtId="3" fontId="93" fillId="0" borderId="23" xfId="70" applyNumberFormat="1" applyFont="1" applyFill="1" applyBorder="1" applyAlignment="1">
      <alignment horizontal="center"/>
      <protection/>
    </xf>
    <xf numFmtId="3" fontId="93" fillId="0" borderId="22" xfId="70" applyNumberFormat="1" applyFont="1" applyFill="1" applyBorder="1">
      <alignment/>
      <protection/>
    </xf>
    <xf numFmtId="3" fontId="93" fillId="0" borderId="22" xfId="70" applyNumberFormat="1" applyFont="1" applyFill="1" applyBorder="1" applyAlignment="1">
      <alignment horizontal="center"/>
      <protection/>
    </xf>
    <xf numFmtId="0" fontId="93" fillId="0" borderId="24" xfId="70" applyFont="1" applyFill="1" applyBorder="1" applyAlignment="1">
      <alignment horizontal="center"/>
      <protection/>
    </xf>
    <xf numFmtId="0" fontId="93" fillId="0" borderId="17" xfId="70" applyFont="1" applyFill="1" applyBorder="1">
      <alignment/>
      <protection/>
    </xf>
    <xf numFmtId="10" fontId="93" fillId="0" borderId="17" xfId="70" applyNumberFormat="1" applyFont="1" applyFill="1" applyBorder="1" applyAlignment="1">
      <alignment horizontal="center"/>
      <protection/>
    </xf>
    <xf numFmtId="165" fontId="93" fillId="0" borderId="24" xfId="70" applyNumberFormat="1" applyFont="1" applyFill="1" applyBorder="1">
      <alignment/>
      <protection/>
    </xf>
    <xf numFmtId="10" fontId="93" fillId="0" borderId="25" xfId="70" applyNumberFormat="1" applyFont="1" applyFill="1" applyBorder="1" applyAlignment="1">
      <alignment horizontal="center"/>
      <protection/>
    </xf>
    <xf numFmtId="10" fontId="93" fillId="0" borderId="24" xfId="70" applyNumberFormat="1" applyFont="1" applyFill="1" applyBorder="1" applyAlignment="1">
      <alignment horizontal="center"/>
      <protection/>
    </xf>
    <xf numFmtId="5" fontId="95" fillId="0" borderId="17" xfId="57" applyNumberFormat="1" applyFont="1" applyFill="1" applyBorder="1" applyAlignment="1">
      <alignment/>
    </xf>
    <xf numFmtId="0" fontId="94" fillId="0" borderId="25" xfId="70" applyFont="1" applyFill="1" applyBorder="1">
      <alignment/>
      <protection/>
    </xf>
    <xf numFmtId="5" fontId="93" fillId="0" borderId="0" xfId="57" applyNumberFormat="1" applyFont="1" applyFill="1" applyBorder="1" applyAlignment="1">
      <alignment/>
    </xf>
    <xf numFmtId="5" fontId="94" fillId="0" borderId="0" xfId="70" applyNumberFormat="1" applyFont="1" applyFill="1" applyBorder="1">
      <alignment/>
      <protection/>
    </xf>
    <xf numFmtId="3" fontId="94" fillId="0" borderId="0" xfId="70" applyNumberFormat="1" applyFont="1" applyFill="1" applyBorder="1">
      <alignment/>
      <protection/>
    </xf>
    <xf numFmtId="3" fontId="94" fillId="0" borderId="0" xfId="70" applyNumberFormat="1" applyFont="1" applyFill="1" applyBorder="1" applyAlignment="1">
      <alignment horizontal="center"/>
      <protection/>
    </xf>
    <xf numFmtId="0" fontId="96" fillId="0" borderId="0" xfId="70" applyFont="1" applyFill="1" applyBorder="1" applyAlignment="1">
      <alignment vertical="top"/>
      <protection/>
    </xf>
    <xf numFmtId="165" fontId="94" fillId="0" borderId="0" xfId="70" applyNumberFormat="1" applyFont="1" applyFill="1" applyBorder="1">
      <alignment/>
      <protection/>
    </xf>
    <xf numFmtId="37" fontId="2" fillId="0" borderId="19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 horizontal="center" wrapText="1"/>
    </xf>
    <xf numFmtId="0" fontId="93" fillId="0" borderId="0" xfId="70" applyFont="1" applyFill="1" applyBorder="1" applyAlignment="1">
      <alignment horizontal="center" wrapText="1"/>
      <protection/>
    </xf>
    <xf numFmtId="37" fontId="4" fillId="0" borderId="14" xfId="73" applyNumberFormat="1" applyFont="1" applyFill="1" applyBorder="1" applyAlignment="1">
      <alignment horizontal="center" wrapText="1"/>
      <protection/>
    </xf>
    <xf numFmtId="0" fontId="5" fillId="0" borderId="13" xfId="73" applyFont="1" applyBorder="1">
      <alignment/>
      <protection/>
    </xf>
    <xf numFmtId="5" fontId="4" fillId="0" borderId="26" xfId="73" applyNumberFormat="1" applyFont="1" applyFill="1" applyBorder="1">
      <alignment/>
      <protection/>
    </xf>
    <xf numFmtId="37" fontId="4" fillId="0" borderId="0" xfId="82" applyNumberFormat="1" applyFont="1" applyFill="1">
      <alignment/>
      <protection/>
    </xf>
    <xf numFmtId="37" fontId="0" fillId="0" borderId="0" xfId="82" applyNumberFormat="1" applyFont="1" applyFill="1">
      <alignment/>
      <protection/>
    </xf>
    <xf numFmtId="37" fontId="2" fillId="0" borderId="0" xfId="82" applyNumberFormat="1" applyFont="1" applyFill="1">
      <alignment/>
      <protection/>
    </xf>
    <xf numFmtId="37" fontId="0" fillId="0" borderId="0" xfId="82" applyNumberFormat="1" applyFill="1">
      <alignment/>
      <protection/>
    </xf>
    <xf numFmtId="37" fontId="4" fillId="0" borderId="0" xfId="82" applyNumberFormat="1" applyFont="1" applyFill="1" applyBorder="1">
      <alignment/>
      <protection/>
    </xf>
    <xf numFmtId="37" fontId="0" fillId="0" borderId="0" xfId="82" applyNumberFormat="1" applyFont="1" applyFill="1" applyBorder="1">
      <alignment/>
      <protection/>
    </xf>
    <xf numFmtId="37" fontId="2" fillId="0" borderId="0" xfId="82" applyNumberFormat="1" applyFont="1" applyFill="1" applyBorder="1">
      <alignment/>
      <protection/>
    </xf>
    <xf numFmtId="37" fontId="11" fillId="0" borderId="0" xfId="82" applyNumberFormat="1" applyFont="1" applyFill="1" applyBorder="1">
      <alignment/>
      <protection/>
    </xf>
    <xf numFmtId="37" fontId="10" fillId="0" borderId="0" xfId="82" applyNumberFormat="1" applyFont="1" applyFill="1" applyBorder="1">
      <alignment/>
      <protection/>
    </xf>
    <xf numFmtId="37" fontId="0" fillId="0" borderId="0" xfId="82" applyNumberFormat="1" applyFill="1" applyBorder="1">
      <alignment/>
      <protection/>
    </xf>
    <xf numFmtId="37" fontId="10" fillId="0" borderId="0" xfId="82" applyNumberFormat="1" applyFont="1" applyFill="1" applyBorder="1" applyAlignment="1">
      <alignment horizontal="center" vertical="center" wrapText="1"/>
      <protection/>
    </xf>
    <xf numFmtId="37" fontId="10" fillId="0" borderId="0" xfId="82" applyNumberFormat="1" applyFont="1" applyFill="1" applyBorder="1" applyAlignment="1">
      <alignment horizontal="center" vertical="center"/>
      <protection/>
    </xf>
    <xf numFmtId="37" fontId="10" fillId="0" borderId="0" xfId="82" applyNumberFormat="1" applyFont="1" applyFill="1" applyBorder="1" applyAlignment="1">
      <alignment vertical="center"/>
      <protection/>
    </xf>
    <xf numFmtId="37" fontId="0" fillId="0" borderId="0" xfId="82" applyNumberFormat="1" applyFill="1" applyBorder="1" applyAlignment="1">
      <alignment vertical="center"/>
      <protection/>
    </xf>
    <xf numFmtId="37" fontId="0" fillId="0" borderId="0" xfId="82" applyNumberFormat="1" applyFill="1" applyAlignment="1">
      <alignment vertical="center"/>
      <protection/>
    </xf>
    <xf numFmtId="37" fontId="10" fillId="0" borderId="0" xfId="82" applyNumberFormat="1" applyFont="1" applyFill="1" applyBorder="1" applyAlignment="1">
      <alignment horizontal="center" wrapText="1"/>
      <protection/>
    </xf>
    <xf numFmtId="37" fontId="0" fillId="0" borderId="22" xfId="82" applyNumberFormat="1" applyFill="1" applyBorder="1" applyAlignment="1">
      <alignment horizontal="center" wrapText="1"/>
      <protection/>
    </xf>
    <xf numFmtId="37" fontId="0" fillId="0" borderId="0" xfId="82" applyNumberFormat="1" applyFill="1" applyAlignment="1">
      <alignment horizontal="center" wrapText="1"/>
      <protection/>
    </xf>
    <xf numFmtId="37" fontId="32" fillId="0" borderId="13" xfId="82" applyNumberFormat="1" applyFont="1" applyFill="1" applyBorder="1">
      <alignment/>
      <protection/>
    </xf>
    <xf numFmtId="37" fontId="32" fillId="0" borderId="0" xfId="82" applyNumberFormat="1" applyFont="1" applyFill="1" applyBorder="1">
      <alignment/>
      <protection/>
    </xf>
    <xf numFmtId="37" fontId="9" fillId="0" borderId="22" xfId="82" applyNumberFormat="1" applyFont="1" applyFill="1" applyBorder="1">
      <alignment/>
      <protection/>
    </xf>
    <xf numFmtId="37" fontId="9" fillId="0" borderId="0" xfId="82" applyNumberFormat="1" applyFont="1" applyFill="1">
      <alignment/>
      <protection/>
    </xf>
    <xf numFmtId="37" fontId="32" fillId="0" borderId="22" xfId="82" applyNumberFormat="1" applyFont="1" applyFill="1" applyBorder="1">
      <alignment/>
      <protection/>
    </xf>
    <xf numFmtId="37" fontId="11" fillId="0" borderId="13" xfId="82" applyNumberFormat="1" applyFont="1" applyFill="1" applyBorder="1">
      <alignment/>
      <protection/>
    </xf>
    <xf numFmtId="37" fontId="11" fillId="0" borderId="22" xfId="82" applyNumberFormat="1" applyFont="1" applyFill="1" applyBorder="1">
      <alignment/>
      <protection/>
    </xf>
    <xf numFmtId="37" fontId="0" fillId="0" borderId="22" xfId="82" applyNumberFormat="1" applyFill="1" applyBorder="1">
      <alignment/>
      <protection/>
    </xf>
    <xf numFmtId="37" fontId="11" fillId="0" borderId="27" xfId="82" applyNumberFormat="1" applyFont="1" applyFill="1" applyBorder="1">
      <alignment/>
      <protection/>
    </xf>
    <xf numFmtId="37" fontId="11" fillId="0" borderId="28" xfId="82" applyNumberFormat="1" applyFont="1" applyFill="1" applyBorder="1">
      <alignment/>
      <protection/>
    </xf>
    <xf numFmtId="37" fontId="2" fillId="0" borderId="22" xfId="82" applyNumberFormat="1" applyFont="1" applyFill="1" applyBorder="1">
      <alignment/>
      <protection/>
    </xf>
    <xf numFmtId="37" fontId="11" fillId="0" borderId="16" xfId="82" applyNumberFormat="1" applyFont="1" applyFill="1" applyBorder="1">
      <alignment/>
      <protection/>
    </xf>
    <xf numFmtId="37" fontId="11" fillId="0" borderId="12" xfId="82" applyNumberFormat="1" applyFont="1" applyFill="1" applyBorder="1">
      <alignment/>
      <protection/>
    </xf>
    <xf numFmtId="37" fontId="11" fillId="0" borderId="29" xfId="82" applyNumberFormat="1" applyFont="1" applyFill="1" applyBorder="1">
      <alignment/>
      <protection/>
    </xf>
    <xf numFmtId="37" fontId="3" fillId="0" borderId="0" xfId="82" applyNumberFormat="1" applyFont="1" applyFill="1">
      <alignment/>
      <protection/>
    </xf>
    <xf numFmtId="37" fontId="11" fillId="0" borderId="0" xfId="82" applyNumberFormat="1" applyFont="1" applyFill="1" applyBorder="1" applyAlignment="1">
      <alignment vertical="center"/>
      <protection/>
    </xf>
    <xf numFmtId="37" fontId="11" fillId="0" borderId="0" xfId="82" applyNumberFormat="1" applyFont="1" applyFill="1" applyBorder="1" applyAlignment="1">
      <alignment horizontal="center" wrapText="1"/>
      <protection/>
    </xf>
    <xf numFmtId="0" fontId="34" fillId="0" borderId="0" xfId="73" applyFont="1" applyFill="1">
      <alignment/>
      <protection/>
    </xf>
    <xf numFmtId="0" fontId="97" fillId="0" borderId="0" xfId="70" applyFont="1" applyFill="1" applyBorder="1">
      <alignment/>
      <protection/>
    </xf>
    <xf numFmtId="37" fontId="2" fillId="0" borderId="19" xfId="0" applyNumberFormat="1" applyFont="1" applyFill="1" applyBorder="1" applyAlignment="1">
      <alignment horizontal="center"/>
    </xf>
    <xf numFmtId="37" fontId="90" fillId="0" borderId="0" xfId="70" applyNumberFormat="1" applyFont="1" applyFill="1" applyAlignment="1">
      <alignment horizontal="left"/>
      <protection/>
    </xf>
    <xf numFmtId="37" fontId="75" fillId="0" borderId="0" xfId="70" applyNumberFormat="1" applyFont="1" applyFill="1" applyAlignment="1">
      <alignment horizontal="left"/>
      <protection/>
    </xf>
    <xf numFmtId="37" fontId="11" fillId="0" borderId="0" xfId="70" applyNumberFormat="1" applyFont="1" applyFill="1" applyAlignment="1">
      <alignment/>
      <protection/>
    </xf>
    <xf numFmtId="37" fontId="98" fillId="0" borderId="0" xfId="0" applyNumberFormat="1" applyFont="1" applyFill="1" applyAlignment="1">
      <alignment horizontal="center" vertical="center" wrapText="1"/>
    </xf>
    <xf numFmtId="37" fontId="93" fillId="0" borderId="0" xfId="74" applyNumberFormat="1" applyFont="1" applyFill="1">
      <alignment/>
      <protection/>
    </xf>
    <xf numFmtId="5" fontId="93" fillId="0" borderId="11" xfId="52" applyNumberFormat="1" applyFont="1" applyFill="1" applyBorder="1" applyAlignment="1">
      <alignment/>
    </xf>
    <xf numFmtId="5" fontId="93" fillId="0" borderId="12" xfId="52" applyNumberFormat="1" applyFont="1" applyFill="1" applyBorder="1" applyAlignment="1">
      <alignment/>
    </xf>
    <xf numFmtId="37" fontId="11" fillId="0" borderId="17" xfId="82" applyNumberFormat="1" applyFont="1" applyFill="1" applyBorder="1">
      <alignment/>
      <protection/>
    </xf>
    <xf numFmtId="37" fontId="11" fillId="0" borderId="26" xfId="82" applyNumberFormat="1" applyFont="1" applyFill="1" applyBorder="1">
      <alignment/>
      <protection/>
    </xf>
    <xf numFmtId="37" fontId="11" fillId="0" borderId="10" xfId="82" applyNumberFormat="1" applyFont="1" applyFill="1" applyBorder="1">
      <alignment/>
      <protection/>
    </xf>
    <xf numFmtId="37" fontId="11" fillId="0" borderId="24" xfId="82" applyNumberFormat="1" applyFont="1" applyFill="1" applyBorder="1">
      <alignment/>
      <protection/>
    </xf>
    <xf numFmtId="37" fontId="95" fillId="0" borderId="0" xfId="74" applyNumberFormat="1" applyFont="1" applyFill="1">
      <alignment/>
      <protection/>
    </xf>
    <xf numFmtId="37" fontId="95" fillId="0" borderId="0" xfId="74" applyNumberFormat="1" applyFont="1" applyFill="1" applyAlignment="1">
      <alignment horizontal="center"/>
      <protection/>
    </xf>
    <xf numFmtId="37" fontId="99" fillId="0" borderId="0" xfId="52" applyNumberFormat="1" applyFont="1" applyFill="1" applyBorder="1" applyAlignment="1" quotePrefix="1">
      <alignment horizontal="center"/>
    </xf>
    <xf numFmtId="37" fontId="93" fillId="0" borderId="0" xfId="52" applyNumberFormat="1" applyFont="1" applyFill="1" applyBorder="1" applyAlignment="1">
      <alignment/>
    </xf>
    <xf numFmtId="5" fontId="93" fillId="0" borderId="0" xfId="52" applyNumberFormat="1" applyFont="1" applyFill="1" applyBorder="1" applyAlignment="1">
      <alignment/>
    </xf>
    <xf numFmtId="37" fontId="93" fillId="0" borderId="11" xfId="74" applyNumberFormat="1" applyFont="1" applyFill="1" applyBorder="1">
      <alignment/>
      <protection/>
    </xf>
    <xf numFmtId="37" fontId="93" fillId="0" borderId="12" xfId="74" applyNumberFormat="1" applyFont="1" applyFill="1" applyBorder="1">
      <alignment/>
      <protection/>
    </xf>
    <xf numFmtId="37" fontId="11" fillId="0" borderId="0" xfId="70" applyNumberFormat="1" applyFont="1" applyFill="1" applyBorder="1" applyAlignment="1">
      <alignment/>
      <protection/>
    </xf>
    <xf numFmtId="37" fontId="93" fillId="0" borderId="0" xfId="74" applyNumberFormat="1" applyFont="1" applyFill="1" applyBorder="1">
      <alignment/>
      <protection/>
    </xf>
    <xf numFmtId="37" fontId="75" fillId="0" borderId="0" xfId="74" applyNumberFormat="1" applyFont="1" applyFill="1">
      <alignment/>
      <protection/>
    </xf>
    <xf numFmtId="37" fontId="75" fillId="0" borderId="0" xfId="74" applyNumberFormat="1" applyFont="1" applyFill="1" applyBorder="1">
      <alignment/>
      <protection/>
    </xf>
    <xf numFmtId="37" fontId="75" fillId="0" borderId="0" xfId="52" applyNumberFormat="1" applyFont="1" applyFill="1" applyAlignment="1">
      <alignment/>
    </xf>
    <xf numFmtId="37" fontId="100" fillId="0" borderId="0" xfId="74" applyNumberFormat="1" applyFont="1" applyFill="1" applyBorder="1">
      <alignment/>
      <protection/>
    </xf>
    <xf numFmtId="0" fontId="93" fillId="0" borderId="20" xfId="70" applyFont="1" applyFill="1" applyBorder="1" applyAlignment="1">
      <alignment horizontal="centerContinuous" wrapText="1"/>
      <protection/>
    </xf>
    <xf numFmtId="0" fontId="95" fillId="0" borderId="22" xfId="70" applyFont="1" applyFill="1" applyBorder="1" applyAlignment="1" quotePrefix="1">
      <alignment wrapText="1"/>
      <protection/>
    </xf>
    <xf numFmtId="37" fontId="95" fillId="0" borderId="0" xfId="74" applyNumberFormat="1" applyFont="1" applyFill="1" applyBorder="1" applyAlignment="1">
      <alignment horizontal="center"/>
      <protection/>
    </xf>
    <xf numFmtId="37" fontId="93" fillId="0" borderId="23" xfId="52" applyNumberFormat="1" applyFont="1" applyFill="1" applyBorder="1" applyAlignment="1">
      <alignment horizontal="center" wrapText="1"/>
    </xf>
    <xf numFmtId="5" fontId="5" fillId="0" borderId="13" xfId="70" applyNumberFormat="1" applyFont="1" applyFill="1" applyBorder="1">
      <alignment/>
      <protection/>
    </xf>
    <xf numFmtId="166" fontId="5" fillId="0" borderId="13" xfId="51" applyNumberFormat="1" applyFont="1" applyBorder="1" applyAlignment="1">
      <alignment/>
    </xf>
    <xf numFmtId="166" fontId="5" fillId="0" borderId="26" xfId="51" applyNumberFormat="1" applyFont="1" applyBorder="1" applyAlignment="1">
      <alignment/>
    </xf>
    <xf numFmtId="43" fontId="5" fillId="0" borderId="0" xfId="45" applyFont="1" applyAlignment="1">
      <alignment/>
    </xf>
    <xf numFmtId="166" fontId="5" fillId="0" borderId="0" xfId="45" applyNumberFormat="1" applyFont="1" applyAlignment="1">
      <alignment/>
    </xf>
    <xf numFmtId="37" fontId="99" fillId="0" borderId="0" xfId="52" applyNumberFormat="1" applyFont="1" applyFill="1" applyBorder="1" applyAlignment="1">
      <alignment horizontal="center"/>
    </xf>
    <xf numFmtId="37" fontId="95" fillId="0" borderId="0" xfId="52" applyNumberFormat="1" applyFont="1" applyFill="1" applyBorder="1" applyAlignment="1">
      <alignment/>
    </xf>
    <xf numFmtId="37" fontId="75" fillId="0" borderId="0" xfId="52" applyNumberFormat="1" applyFont="1" applyFill="1" applyBorder="1" applyAlignment="1">
      <alignment/>
    </xf>
    <xf numFmtId="37" fontId="93" fillId="0" borderId="14" xfId="52" applyNumberFormat="1" applyFont="1" applyFill="1" applyBorder="1" applyAlignment="1">
      <alignment horizontal="center" wrapText="1"/>
    </xf>
    <xf numFmtId="37" fontId="6" fillId="0" borderId="23" xfId="0" applyNumberFormat="1" applyFont="1" applyFill="1" applyBorder="1" applyAlignment="1">
      <alignment horizontal="center" vertical="center" wrapText="1"/>
    </xf>
    <xf numFmtId="37" fontId="32" fillId="0" borderId="23" xfId="82" applyNumberFormat="1" applyFont="1" applyFill="1" applyBorder="1">
      <alignment/>
      <protection/>
    </xf>
    <xf numFmtId="37" fontId="11" fillId="0" borderId="23" xfId="82" applyNumberFormat="1" applyFont="1" applyFill="1" applyBorder="1">
      <alignment/>
      <protection/>
    </xf>
    <xf numFmtId="37" fontId="11" fillId="0" borderId="25" xfId="82" applyNumberFormat="1" applyFont="1" applyFill="1" applyBorder="1">
      <alignment/>
      <protection/>
    </xf>
    <xf numFmtId="37" fontId="11" fillId="0" borderId="30" xfId="82" applyNumberFormat="1" applyFont="1" applyFill="1" applyBorder="1">
      <alignment/>
      <protection/>
    </xf>
    <xf numFmtId="37" fontId="11" fillId="0" borderId="31" xfId="82" applyNumberFormat="1" applyFont="1" applyFill="1" applyBorder="1">
      <alignment/>
      <protection/>
    </xf>
    <xf numFmtId="37" fontId="94" fillId="0" borderId="0" xfId="70" applyNumberFormat="1" applyFont="1" applyFill="1" applyBorder="1">
      <alignment/>
      <protection/>
    </xf>
    <xf numFmtId="5" fontId="0" fillId="0" borderId="0" xfId="70" applyNumberFormat="1" applyFont="1">
      <alignment/>
      <protection/>
    </xf>
    <xf numFmtId="5" fontId="0" fillId="0" borderId="0" xfId="0" applyNumberFormat="1" applyFont="1" applyFill="1" applyAlignment="1">
      <alignment/>
    </xf>
    <xf numFmtId="37" fontId="0" fillId="0" borderId="0" xfId="70" applyNumberFormat="1" applyFont="1">
      <alignment/>
      <protection/>
    </xf>
    <xf numFmtId="37" fontId="0" fillId="0" borderId="0" xfId="0" applyNumberFormat="1" applyFont="1" applyFill="1" applyAlignment="1">
      <alignment/>
    </xf>
    <xf numFmtId="37" fontId="0" fillId="0" borderId="0" xfId="0" applyNumberFormat="1" applyFont="1" applyFill="1" applyAlignment="1" applyProtection="1">
      <alignment/>
      <protection locked="0"/>
    </xf>
    <xf numFmtId="37" fontId="7" fillId="0" borderId="0" xfId="82" applyNumberFormat="1" applyFont="1" applyFill="1" applyAlignment="1">
      <alignment vertical="top"/>
      <protection/>
    </xf>
    <xf numFmtId="37" fontId="11" fillId="0" borderId="14" xfId="82" applyNumberFormat="1" applyFont="1" applyFill="1" applyBorder="1" applyAlignment="1">
      <alignment horizontal="center" wrapText="1"/>
      <protection/>
    </xf>
    <xf numFmtId="37" fontId="14" fillId="0" borderId="0" xfId="0" applyNumberFormat="1" applyFont="1" applyFill="1" applyAlignment="1">
      <alignment horizontal="left" vertical="top"/>
    </xf>
    <xf numFmtId="37" fontId="0" fillId="0" borderId="0" xfId="0" applyNumberFormat="1" applyFont="1" applyFill="1" applyBorder="1" applyAlignment="1">
      <alignment/>
    </xf>
    <xf numFmtId="37" fontId="0" fillId="0" borderId="0" xfId="0" applyNumberFormat="1" applyFont="1" applyFill="1" applyAlignment="1">
      <alignment horizontal="center" wrapText="1"/>
    </xf>
    <xf numFmtId="37" fontId="8" fillId="0" borderId="0" xfId="0" applyNumberFormat="1" applyFont="1" applyFill="1" applyBorder="1" applyAlignment="1">
      <alignment/>
    </xf>
    <xf numFmtId="37" fontId="8" fillId="0" borderId="0" xfId="0" applyNumberFormat="1" applyFont="1" applyFill="1" applyBorder="1" applyAlignment="1">
      <alignment/>
    </xf>
    <xf numFmtId="37" fontId="0" fillId="0" borderId="0" xfId="0" applyNumberFormat="1" applyFont="1" applyFill="1" applyAlignment="1">
      <alignment/>
    </xf>
    <xf numFmtId="37" fontId="0" fillId="0" borderId="0" xfId="0" applyNumberFormat="1" applyFont="1" applyFill="1" applyBorder="1" applyAlignment="1">
      <alignment horizontal="right" indent="1"/>
    </xf>
    <xf numFmtId="37" fontId="99" fillId="0" borderId="13" xfId="52" applyNumberFormat="1" applyFont="1" applyFill="1" applyBorder="1" applyAlignment="1" quotePrefix="1">
      <alignment horizontal="center"/>
    </xf>
    <xf numFmtId="5" fontId="93" fillId="0" borderId="13" xfId="52" applyNumberFormat="1" applyFont="1" applyFill="1" applyBorder="1" applyAlignment="1">
      <alignment/>
    </xf>
    <xf numFmtId="37" fontId="93" fillId="0" borderId="13" xfId="52" applyNumberFormat="1" applyFont="1" applyFill="1" applyBorder="1" applyAlignment="1">
      <alignment/>
    </xf>
    <xf numFmtId="5" fontId="93" fillId="0" borderId="15" xfId="52" applyNumberFormat="1" applyFont="1" applyFill="1" applyBorder="1" applyAlignment="1">
      <alignment/>
    </xf>
    <xf numFmtId="5" fontId="93" fillId="0" borderId="16" xfId="52" applyNumberFormat="1" applyFont="1" applyFill="1" applyBorder="1" applyAlignment="1">
      <alignment/>
    </xf>
    <xf numFmtId="37" fontId="94" fillId="0" borderId="0" xfId="74" applyNumberFormat="1" applyFont="1" applyFill="1" applyAlignment="1">
      <alignment wrapText="1"/>
      <protection/>
    </xf>
    <xf numFmtId="37" fontId="94" fillId="0" borderId="0" xfId="52" applyNumberFormat="1" applyFont="1" applyFill="1" applyBorder="1" applyAlignment="1" quotePrefix="1">
      <alignment horizontal="center" wrapText="1"/>
    </xf>
    <xf numFmtId="37" fontId="94" fillId="0" borderId="14" xfId="52" applyNumberFormat="1" applyFont="1" applyFill="1" applyBorder="1" applyAlignment="1">
      <alignment horizontal="center" wrapText="1"/>
    </xf>
    <xf numFmtId="37" fontId="8" fillId="0" borderId="0" xfId="0" applyNumberFormat="1" applyFont="1" applyFill="1" applyBorder="1" applyAlignment="1">
      <alignment horizontal="center" vertical="center"/>
    </xf>
    <xf numFmtId="37" fontId="12" fillId="0" borderId="13" xfId="0" applyNumberFormat="1" applyFont="1" applyFill="1" applyBorder="1" applyAlignment="1">
      <alignment horizontal="center" vertical="center" wrapText="1"/>
    </xf>
    <xf numFmtId="37" fontId="12" fillId="0" borderId="0" xfId="0" applyNumberFormat="1" applyFont="1" applyFill="1" applyBorder="1" applyAlignment="1">
      <alignment horizontal="center" vertical="center" wrapText="1"/>
    </xf>
    <xf numFmtId="37" fontId="0" fillId="0" borderId="0" xfId="0" applyNumberFormat="1" applyFont="1" applyFill="1" applyAlignment="1">
      <alignment horizontal="center" vertical="center"/>
    </xf>
    <xf numFmtId="37" fontId="101" fillId="0" borderId="0" xfId="74" applyNumberFormat="1" applyFont="1" applyFill="1" applyAlignment="1">
      <alignment horizontal="center" vertical="center"/>
      <protection/>
    </xf>
    <xf numFmtId="37" fontId="98" fillId="0" borderId="0" xfId="52" applyNumberFormat="1" applyFont="1" applyFill="1" applyBorder="1" applyAlignment="1" quotePrefix="1">
      <alignment horizontal="center" vertical="center" wrapText="1"/>
    </xf>
    <xf numFmtId="37" fontId="98" fillId="0" borderId="0" xfId="52" applyNumberFormat="1" applyFont="1" applyFill="1" applyBorder="1" applyAlignment="1" quotePrefix="1">
      <alignment horizontal="center" vertical="center"/>
    </xf>
    <xf numFmtId="37" fontId="98" fillId="0" borderId="13" xfId="52" applyNumberFormat="1" applyFont="1" applyFill="1" applyBorder="1" applyAlignment="1" quotePrefix="1">
      <alignment horizontal="center" vertical="center"/>
    </xf>
    <xf numFmtId="37" fontId="98" fillId="0" borderId="0" xfId="52" applyNumberFormat="1" applyFont="1" applyFill="1" applyBorder="1" applyAlignment="1">
      <alignment horizontal="center" vertical="center"/>
    </xf>
    <xf numFmtId="37" fontId="9" fillId="0" borderId="0" xfId="70" applyNumberFormat="1" applyFont="1" applyFill="1" applyAlignment="1" quotePrefix="1">
      <alignment horizontal="center" vertical="center"/>
      <protection/>
    </xf>
    <xf numFmtId="37" fontId="9" fillId="0" borderId="0" xfId="70" applyNumberFormat="1" applyFont="1" applyFill="1" applyBorder="1" applyAlignment="1" quotePrefix="1">
      <alignment horizontal="center" vertical="center"/>
      <protection/>
    </xf>
    <xf numFmtId="37" fontId="9" fillId="0" borderId="32" xfId="70" applyNumberFormat="1" applyFont="1" applyFill="1" applyBorder="1" applyAlignment="1" quotePrefix="1">
      <alignment horizontal="center" vertical="center"/>
      <protection/>
    </xf>
    <xf numFmtId="37" fontId="9" fillId="0" borderId="0" xfId="70" applyNumberFormat="1" applyFont="1" applyFill="1" applyBorder="1" applyAlignment="1">
      <alignment horizontal="center" vertical="center"/>
      <protection/>
    </xf>
    <xf numFmtId="37" fontId="9" fillId="0" borderId="32" xfId="70" applyNumberFormat="1" applyFont="1" applyFill="1" applyBorder="1" applyAlignment="1">
      <alignment horizontal="center" vertical="center"/>
      <protection/>
    </xf>
    <xf numFmtId="37" fontId="9" fillId="0" borderId="33" xfId="70" applyNumberFormat="1" applyFont="1" applyFill="1" applyBorder="1" applyAlignment="1">
      <alignment horizontal="center" vertical="center"/>
      <protection/>
    </xf>
    <xf numFmtId="37" fontId="3" fillId="0" borderId="0" xfId="82" applyNumberFormat="1" applyFont="1" applyFill="1" applyBorder="1" applyAlignment="1">
      <alignment vertical="center"/>
      <protection/>
    </xf>
    <xf numFmtId="37" fontId="3" fillId="0" borderId="22" xfId="82" applyNumberFormat="1" applyFont="1" applyFill="1" applyBorder="1" applyAlignment="1">
      <alignment vertical="center"/>
      <protection/>
    </xf>
    <xf numFmtId="37" fontId="3" fillId="0" borderId="22" xfId="82" applyNumberFormat="1" applyFont="1" applyFill="1" applyBorder="1" applyAlignment="1">
      <alignment horizontal="center" vertical="center"/>
      <protection/>
    </xf>
    <xf numFmtId="37" fontId="3" fillId="0" borderId="13" xfId="82" applyNumberFormat="1" applyFont="1" applyFill="1" applyBorder="1" applyAlignment="1">
      <alignment horizontal="center" vertical="center"/>
      <protection/>
    </xf>
    <xf numFmtId="37" fontId="3" fillId="0" borderId="0" xfId="82" applyNumberFormat="1" applyFont="1" applyFill="1" applyBorder="1" applyAlignment="1">
      <alignment horizontal="center" vertical="center"/>
      <protection/>
    </xf>
    <xf numFmtId="37" fontId="3" fillId="0" borderId="0" xfId="82" applyNumberFormat="1" applyFont="1" applyFill="1" applyAlignment="1">
      <alignment vertical="center"/>
      <protection/>
    </xf>
    <xf numFmtId="0" fontId="94" fillId="0" borderId="22" xfId="70" applyFont="1" applyFill="1" applyBorder="1" applyAlignment="1">
      <alignment horizontal="center" vertical="center"/>
      <protection/>
    </xf>
    <xf numFmtId="0" fontId="93" fillId="0" borderId="0" xfId="70" applyFont="1" applyFill="1" applyBorder="1" applyAlignment="1">
      <alignment vertical="center"/>
      <protection/>
    </xf>
    <xf numFmtId="0" fontId="93" fillId="0" borderId="34" xfId="70" applyFont="1" applyFill="1" applyBorder="1" applyAlignment="1">
      <alignment horizontal="center" vertical="center"/>
      <protection/>
    </xf>
    <xf numFmtId="0" fontId="93" fillId="0" borderId="0" xfId="70" applyFont="1" applyFill="1" applyBorder="1" applyAlignment="1">
      <alignment horizontal="center" vertical="center"/>
      <protection/>
    </xf>
    <xf numFmtId="0" fontId="93" fillId="0" borderId="22" xfId="70" applyFont="1" applyFill="1" applyBorder="1" applyAlignment="1">
      <alignment horizontal="center" vertical="center"/>
      <protection/>
    </xf>
    <xf numFmtId="0" fontId="93" fillId="0" borderId="23" xfId="70" applyFont="1" applyFill="1" applyBorder="1" applyAlignment="1">
      <alignment horizontal="center" vertical="center"/>
      <protection/>
    </xf>
    <xf numFmtId="0" fontId="102" fillId="0" borderId="0" xfId="70" applyFont="1" applyFill="1" applyBorder="1" applyAlignment="1">
      <alignment horizontal="center" vertical="center"/>
      <protection/>
    </xf>
    <xf numFmtId="0" fontId="94" fillId="0" borderId="23" xfId="70" applyFont="1" applyFill="1" applyBorder="1" applyAlignment="1">
      <alignment vertical="center"/>
      <protection/>
    </xf>
    <xf numFmtId="0" fontId="94" fillId="0" borderId="0" xfId="70" applyFont="1" applyFill="1" applyBorder="1" applyAlignment="1">
      <alignment vertical="center"/>
      <protection/>
    </xf>
    <xf numFmtId="5" fontId="93" fillId="0" borderId="0" xfId="74" applyNumberFormat="1" applyFont="1" applyFill="1">
      <alignment/>
      <protection/>
    </xf>
    <xf numFmtId="5" fontId="75" fillId="0" borderId="0" xfId="74" applyNumberFormat="1" applyFont="1" applyFill="1">
      <alignment/>
      <protection/>
    </xf>
    <xf numFmtId="37" fontId="94" fillId="0" borderId="19" xfId="52" applyNumberFormat="1" applyFont="1" applyFill="1" applyBorder="1" applyAlignment="1">
      <alignment horizontal="center" wrapText="1"/>
    </xf>
    <xf numFmtId="37" fontId="93" fillId="0" borderId="17" xfId="52" applyNumberFormat="1" applyFont="1" applyFill="1" applyBorder="1" applyAlignment="1">
      <alignment/>
    </xf>
    <xf numFmtId="37" fontId="94" fillId="0" borderId="19" xfId="52" applyNumberFormat="1" applyFont="1" applyFill="1" applyBorder="1" applyAlignment="1" quotePrefix="1">
      <alignment horizontal="center" wrapText="1"/>
    </xf>
    <xf numFmtId="37" fontId="98" fillId="0" borderId="22" xfId="52" applyNumberFormat="1" applyFont="1" applyFill="1" applyBorder="1" applyAlignment="1" quotePrefix="1">
      <alignment horizontal="center" vertical="center" wrapText="1"/>
    </xf>
    <xf numFmtId="37" fontId="93" fillId="0" borderId="26" xfId="52" applyNumberFormat="1" applyFont="1" applyFill="1" applyBorder="1" applyAlignment="1">
      <alignment/>
    </xf>
    <xf numFmtId="5" fontId="93" fillId="0" borderId="29" xfId="52" applyNumberFormat="1" applyFont="1" applyFill="1" applyBorder="1" applyAlignment="1">
      <alignment/>
    </xf>
    <xf numFmtId="37" fontId="0" fillId="0" borderId="0" xfId="0" applyNumberFormat="1" applyAlignment="1">
      <alignment/>
    </xf>
    <xf numFmtId="37" fontId="94" fillId="0" borderId="18" xfId="52" applyNumberFormat="1" applyFont="1" applyFill="1" applyBorder="1" applyAlignment="1">
      <alignment horizontal="center" wrapText="1"/>
    </xf>
    <xf numFmtId="37" fontId="98" fillId="0" borderId="22" xfId="52" applyNumberFormat="1" applyFont="1" applyFill="1" applyBorder="1" applyAlignment="1">
      <alignment horizontal="center" vertical="center"/>
    </xf>
    <xf numFmtId="37" fontId="99" fillId="0" borderId="22" xfId="52" applyNumberFormat="1" applyFont="1" applyFill="1" applyBorder="1" applyAlignment="1" quotePrefix="1">
      <alignment horizontal="center"/>
    </xf>
    <xf numFmtId="5" fontId="93" fillId="0" borderId="22" xfId="52" applyNumberFormat="1" applyFont="1" applyFill="1" applyBorder="1" applyAlignment="1">
      <alignment/>
    </xf>
    <xf numFmtId="37" fontId="93" fillId="0" borderId="22" xfId="52" applyNumberFormat="1" applyFont="1" applyFill="1" applyBorder="1" applyAlignment="1">
      <alignment/>
    </xf>
    <xf numFmtId="5" fontId="93" fillId="0" borderId="35" xfId="52" applyNumberFormat="1" applyFont="1" applyFill="1" applyBorder="1" applyAlignment="1">
      <alignment/>
    </xf>
    <xf numFmtId="37" fontId="93" fillId="0" borderId="24" xfId="52" applyNumberFormat="1" applyFont="1" applyFill="1" applyBorder="1" applyAlignment="1">
      <alignment/>
    </xf>
    <xf numFmtId="37" fontId="10" fillId="0" borderId="0" xfId="0" applyNumberFormat="1" applyFont="1" applyFill="1" applyAlignment="1">
      <alignment/>
    </xf>
    <xf numFmtId="37" fontId="95" fillId="0" borderId="0" xfId="74" applyNumberFormat="1" applyFont="1" applyFill="1" applyBorder="1" applyAlignment="1" quotePrefix="1">
      <alignment horizontal="center"/>
      <protection/>
    </xf>
    <xf numFmtId="37" fontId="0" fillId="0" borderId="0" xfId="0" applyNumberFormat="1" applyFont="1" applyFill="1" applyAlignment="1">
      <alignment vertical="top"/>
    </xf>
    <xf numFmtId="37" fontId="0" fillId="0" borderId="0" xfId="0" applyNumberFormat="1" applyFont="1" applyFill="1" applyBorder="1" applyAlignment="1">
      <alignment horizontal="right" vertical="top"/>
    </xf>
    <xf numFmtId="37" fontId="75" fillId="0" borderId="0" xfId="52" applyNumberFormat="1" applyFont="1" applyFill="1" applyAlignment="1">
      <alignment vertical="top"/>
    </xf>
    <xf numFmtId="37" fontId="75" fillId="0" borderId="0" xfId="52" applyNumberFormat="1" applyFont="1" applyFill="1" applyBorder="1" applyAlignment="1">
      <alignment vertical="top"/>
    </xf>
    <xf numFmtId="37" fontId="75" fillId="0" borderId="0" xfId="74" applyNumberFormat="1" applyFont="1" applyFill="1" applyAlignment="1">
      <alignment vertical="top"/>
      <protection/>
    </xf>
    <xf numFmtId="37" fontId="94" fillId="0" borderId="0" xfId="74" applyNumberFormat="1" applyFont="1" applyFill="1" applyAlignment="1">
      <alignment vertical="top"/>
      <protection/>
    </xf>
    <xf numFmtId="37" fontId="10" fillId="0" borderId="17" xfId="0" applyNumberFormat="1" applyFont="1" applyFill="1" applyBorder="1" applyAlignment="1">
      <alignment/>
    </xf>
    <xf numFmtId="37" fontId="2" fillId="0" borderId="11" xfId="0" applyNumberFormat="1" applyFont="1" applyFill="1" applyBorder="1" applyAlignment="1">
      <alignment horizontal="center"/>
    </xf>
    <xf numFmtId="37" fontId="94" fillId="0" borderId="0" xfId="74" applyNumberFormat="1" applyFont="1" applyFill="1" applyAlignment="1">
      <alignment horizontal="center" wrapText="1"/>
      <protection/>
    </xf>
    <xf numFmtId="5" fontId="93" fillId="0" borderId="11" xfId="74" applyNumberFormat="1" applyFont="1" applyFill="1" applyBorder="1">
      <alignment/>
      <protection/>
    </xf>
    <xf numFmtId="5" fontId="93" fillId="0" borderId="12" xfId="74" applyNumberFormat="1" applyFont="1" applyFill="1" applyBorder="1">
      <alignment/>
      <protection/>
    </xf>
    <xf numFmtId="37" fontId="0" fillId="0" borderId="0" xfId="0" applyNumberFormat="1" applyFont="1" applyFill="1" applyAlignment="1">
      <alignment vertical="top" wrapText="1"/>
    </xf>
    <xf numFmtId="37" fontId="0" fillId="0" borderId="14" xfId="0" applyNumberFormat="1" applyFont="1" applyFill="1" applyBorder="1" applyAlignment="1">
      <alignment horizontal="center" wrapText="1"/>
    </xf>
    <xf numFmtId="37" fontId="8" fillId="0" borderId="13" xfId="0" applyNumberFormat="1" applyFont="1" applyFill="1" applyBorder="1" applyAlignment="1">
      <alignment horizontal="center" vertical="center"/>
    </xf>
    <xf numFmtId="37" fontId="8" fillId="0" borderId="13" xfId="0" applyNumberFormat="1" applyFont="1" applyFill="1" applyBorder="1" applyAlignment="1">
      <alignment/>
    </xf>
    <xf numFmtId="37" fontId="3" fillId="0" borderId="13" xfId="82" applyNumberFormat="1" applyFont="1" applyFill="1" applyBorder="1" applyAlignment="1">
      <alignment vertical="center"/>
      <protection/>
    </xf>
    <xf numFmtId="37" fontId="93" fillId="0" borderId="13" xfId="74" applyNumberFormat="1" applyFont="1" applyFill="1" applyBorder="1">
      <alignment/>
      <protection/>
    </xf>
    <xf numFmtId="37" fontId="99" fillId="0" borderId="22" xfId="52" applyNumberFormat="1" applyFont="1" applyFill="1" applyBorder="1" applyAlignment="1">
      <alignment horizontal="center" wrapText="1"/>
    </xf>
    <xf numFmtId="37" fontId="4" fillId="0" borderId="0" xfId="0" applyNumberFormat="1" applyFont="1" applyFill="1" applyBorder="1" applyAlignment="1">
      <alignment horizontal="center"/>
    </xf>
    <xf numFmtId="171" fontId="0" fillId="0" borderId="0" xfId="0" applyNumberFormat="1" applyFont="1" applyFill="1" applyBorder="1" applyAlignment="1">
      <alignment horizontal="right" vertical="top"/>
    </xf>
    <xf numFmtId="37" fontId="94" fillId="0" borderId="0" xfId="0" applyNumberFormat="1" applyFont="1" applyFill="1" applyAlignment="1">
      <alignment/>
    </xf>
    <xf numFmtId="37" fontId="93" fillId="0" borderId="22" xfId="70" applyNumberFormat="1" applyFont="1" applyFill="1" applyBorder="1">
      <alignment/>
      <protection/>
    </xf>
    <xf numFmtId="37" fontId="93" fillId="33" borderId="22" xfId="70" applyNumberFormat="1" applyFont="1" applyFill="1" applyBorder="1">
      <alignment/>
      <protection/>
    </xf>
    <xf numFmtId="37" fontId="103" fillId="0" borderId="0" xfId="52" applyNumberFormat="1" applyFont="1" applyFill="1" applyAlignment="1">
      <alignment/>
    </xf>
    <xf numFmtId="37" fontId="104" fillId="0" borderId="0" xfId="0" applyNumberFormat="1" applyFont="1" applyFill="1" applyBorder="1" applyAlignment="1">
      <alignment horizontal="center" vertical="center"/>
    </xf>
    <xf numFmtId="0" fontId="104" fillId="0" borderId="0" xfId="70" applyFont="1" applyFill="1" applyBorder="1" applyAlignment="1">
      <alignment horizontal="center"/>
      <protection/>
    </xf>
    <xf numFmtId="166" fontId="94" fillId="0" borderId="0" xfId="45" applyNumberFormat="1" applyFont="1" applyFill="1" applyBorder="1" applyAlignment="1">
      <alignment/>
    </xf>
    <xf numFmtId="37" fontId="105" fillId="0" borderId="0" xfId="52" applyNumberFormat="1" applyFont="1" applyFill="1" applyBorder="1" applyAlignment="1">
      <alignment horizontal="left"/>
    </xf>
    <xf numFmtId="37" fontId="106" fillId="0" borderId="0" xfId="52" applyNumberFormat="1" applyFont="1" applyFill="1" applyBorder="1" applyAlignment="1" quotePrefix="1">
      <alignment horizontal="center" vertical="center" wrapText="1"/>
    </xf>
    <xf numFmtId="37" fontId="106" fillId="0" borderId="0" xfId="0" applyNumberFormat="1" applyFont="1" applyFill="1" applyBorder="1" applyAlignment="1">
      <alignment/>
    </xf>
    <xf numFmtId="37" fontId="107" fillId="0" borderId="0" xfId="52" applyNumberFormat="1" applyFont="1" applyFill="1" applyBorder="1" applyAlignment="1" quotePrefix="1">
      <alignment horizontal="center" vertical="center" wrapText="1"/>
    </xf>
    <xf numFmtId="0" fontId="13" fillId="0" borderId="0" xfId="77" applyFont="1" applyFill="1" applyBorder="1">
      <alignment/>
      <protection/>
    </xf>
    <xf numFmtId="0" fontId="11" fillId="0" borderId="0" xfId="77" applyFont="1" applyFill="1" applyBorder="1">
      <alignment/>
      <protection/>
    </xf>
    <xf numFmtId="0" fontId="105" fillId="0" borderId="0" xfId="77" applyFont="1" applyFill="1" applyBorder="1">
      <alignment/>
      <protection/>
    </xf>
    <xf numFmtId="0" fontId="90" fillId="0" borderId="0" xfId="77" applyFont="1" applyFill="1" applyBorder="1">
      <alignment/>
      <protection/>
    </xf>
    <xf numFmtId="0" fontId="32" fillId="0" borderId="0" xfId="77" applyFont="1" applyFill="1" applyBorder="1">
      <alignment/>
      <protection/>
    </xf>
    <xf numFmtId="0" fontId="105" fillId="0" borderId="0" xfId="77" applyFont="1" applyFill="1" applyBorder="1" applyAlignment="1">
      <alignment horizontal="right"/>
      <protection/>
    </xf>
    <xf numFmtId="0" fontId="105" fillId="0" borderId="0" xfId="77" applyFont="1" applyFill="1" applyBorder="1" applyAlignment="1">
      <alignment horizontal="center"/>
      <protection/>
    </xf>
    <xf numFmtId="0" fontId="10" fillId="0" borderId="0" xfId="77" applyFont="1" applyFill="1" applyBorder="1" applyAlignment="1">
      <alignment horizontal="right"/>
      <protection/>
    </xf>
    <xf numFmtId="0" fontId="10" fillId="0" borderId="0" xfId="77" applyFont="1" applyFill="1" applyBorder="1">
      <alignment/>
      <protection/>
    </xf>
    <xf numFmtId="0" fontId="51" fillId="0" borderId="0" xfId="77" applyFont="1" applyFill="1" applyBorder="1">
      <alignment/>
      <protection/>
    </xf>
    <xf numFmtId="0" fontId="4" fillId="0" borderId="0" xfId="77" applyFont="1" applyFill="1" applyBorder="1" applyAlignment="1">
      <alignment horizontal="right"/>
      <protection/>
    </xf>
    <xf numFmtId="0" fontId="33" fillId="0" borderId="0" xfId="77" applyFont="1" applyFill="1" applyBorder="1">
      <alignment/>
      <protection/>
    </xf>
    <xf numFmtId="37" fontId="16" fillId="0" borderId="0" xfId="70" applyNumberFormat="1" applyFont="1" applyFill="1" applyBorder="1" applyAlignment="1">
      <alignment horizontal="center" vertical="center"/>
      <protection/>
    </xf>
    <xf numFmtId="0" fontId="11" fillId="0" borderId="0" xfId="77" applyFont="1" applyFill="1">
      <alignment/>
      <protection/>
    </xf>
    <xf numFmtId="0" fontId="11" fillId="0" borderId="10" xfId="77" applyFont="1" applyFill="1" applyBorder="1">
      <alignment/>
      <protection/>
    </xf>
    <xf numFmtId="0" fontId="0" fillId="0" borderId="36" xfId="77" applyFont="1" applyFill="1" applyBorder="1" applyAlignment="1">
      <alignment horizontal="center" wrapText="1"/>
      <protection/>
    </xf>
    <xf numFmtId="0" fontId="0" fillId="0" borderId="10" xfId="77" applyFont="1" applyFill="1" applyBorder="1" applyAlignment="1">
      <alignment horizontal="center" wrapText="1"/>
      <protection/>
    </xf>
    <xf numFmtId="0" fontId="0" fillId="0" borderId="37" xfId="77" applyFont="1" applyFill="1" applyBorder="1" applyAlignment="1">
      <alignment horizontal="center" wrapText="1"/>
      <protection/>
    </xf>
    <xf numFmtId="0" fontId="3" fillId="0" borderId="37" xfId="77" applyFont="1" applyFill="1" applyBorder="1" applyAlignment="1">
      <alignment horizontal="center" wrapText="1"/>
      <protection/>
    </xf>
    <xf numFmtId="0" fontId="3" fillId="0" borderId="38" xfId="77" applyFont="1" applyFill="1" applyBorder="1" applyAlignment="1">
      <alignment horizontal="center" wrapText="1"/>
      <protection/>
    </xf>
    <xf numFmtId="0" fontId="3" fillId="0" borderId="39" xfId="77" applyFont="1" applyFill="1" applyBorder="1" applyAlignment="1">
      <alignment horizontal="center" wrapText="1"/>
      <protection/>
    </xf>
    <xf numFmtId="0" fontId="3" fillId="0" borderId="40" xfId="77" applyFont="1" applyFill="1" applyBorder="1" applyAlignment="1">
      <alignment horizontal="center" wrapText="1"/>
      <protection/>
    </xf>
    <xf numFmtId="0" fontId="0" fillId="0" borderId="0" xfId="77" applyFont="1" applyFill="1" applyAlignment="1">
      <alignment horizontal="center" wrapText="1"/>
      <protection/>
    </xf>
    <xf numFmtId="0" fontId="108" fillId="0" borderId="41" xfId="77" applyFont="1" applyFill="1" applyBorder="1" applyAlignment="1">
      <alignment horizontal="center" vertical="center" wrapText="1"/>
      <protection/>
    </xf>
    <xf numFmtId="0" fontId="108" fillId="0" borderId="0" xfId="77" applyFont="1" applyFill="1" applyBorder="1" applyAlignment="1">
      <alignment horizontal="center" vertical="center" wrapText="1"/>
      <protection/>
    </xf>
    <xf numFmtId="0" fontId="105" fillId="0" borderId="0" xfId="77" applyFont="1" applyFill="1" applyBorder="1" applyAlignment="1">
      <alignment horizontal="center" vertical="center" wrapText="1"/>
      <protection/>
    </xf>
    <xf numFmtId="0" fontId="108" fillId="0" borderId="42" xfId="77" applyFont="1" applyFill="1" applyBorder="1" applyAlignment="1">
      <alignment horizontal="center" vertical="center" wrapText="1"/>
      <protection/>
    </xf>
    <xf numFmtId="0" fontId="108" fillId="0" borderId="33" xfId="77" applyFont="1" applyFill="1" applyBorder="1" applyAlignment="1">
      <alignment horizontal="center" vertical="center" wrapText="1"/>
      <protection/>
    </xf>
    <xf numFmtId="37" fontId="6" fillId="0" borderId="0" xfId="70" applyNumberFormat="1" applyFont="1" applyFill="1" applyBorder="1" applyAlignment="1">
      <alignment horizontal="center" vertical="center" wrapText="1"/>
      <protection/>
    </xf>
    <xf numFmtId="0" fontId="9" fillId="0" borderId="32" xfId="77" applyFont="1" applyFill="1" applyBorder="1" applyAlignment="1">
      <alignment horizontal="center" vertical="center" wrapText="1"/>
      <protection/>
    </xf>
    <xf numFmtId="0" fontId="108" fillId="0" borderId="0" xfId="77" applyFont="1" applyFill="1" applyAlignment="1">
      <alignment horizontal="center" vertical="center" wrapText="1"/>
      <protection/>
    </xf>
    <xf numFmtId="0" fontId="11" fillId="0" borderId="41" xfId="77" applyFont="1" applyFill="1" applyBorder="1" applyAlignment="1">
      <alignment horizontal="center" wrapText="1"/>
      <protection/>
    </xf>
    <xf numFmtId="0" fontId="11" fillId="0" borderId="0" xfId="77" applyFont="1" applyFill="1" applyBorder="1" applyAlignment="1">
      <alignment horizontal="center" wrapText="1"/>
      <protection/>
    </xf>
    <xf numFmtId="0" fontId="32" fillId="0" borderId="0" xfId="77" applyFont="1" applyFill="1" applyBorder="1" applyAlignment="1">
      <alignment horizontal="center" wrapText="1"/>
      <protection/>
    </xf>
    <xf numFmtId="0" fontId="11" fillId="0" borderId="43" xfId="77" applyFont="1" applyFill="1" applyBorder="1" applyAlignment="1">
      <alignment horizontal="center" wrapText="1"/>
      <protection/>
    </xf>
    <xf numFmtId="0" fontId="32" fillId="0" borderId="32" xfId="77" applyFont="1" applyFill="1" applyBorder="1" applyAlignment="1">
      <alignment horizontal="center" wrapText="1"/>
      <protection/>
    </xf>
    <xf numFmtId="0" fontId="32" fillId="0" borderId="43" xfId="77" applyFont="1" applyFill="1" applyBorder="1" applyAlignment="1">
      <alignment horizontal="center" wrapText="1"/>
      <protection/>
    </xf>
    <xf numFmtId="0" fontId="11" fillId="0" borderId="0" xfId="77" applyFont="1" applyFill="1" applyAlignment="1">
      <alignment horizontal="center" wrapText="1"/>
      <protection/>
    </xf>
    <xf numFmtId="5" fontId="11" fillId="0" borderId="41" xfId="77" applyNumberFormat="1" applyFont="1" applyFill="1" applyBorder="1">
      <alignment/>
      <protection/>
    </xf>
    <xf numFmtId="5" fontId="11" fillId="0" borderId="0" xfId="77" applyNumberFormat="1" applyFont="1" applyFill="1" applyBorder="1">
      <alignment/>
      <protection/>
    </xf>
    <xf numFmtId="5" fontId="11" fillId="0" borderId="0" xfId="77" applyNumberFormat="1" applyFont="1" applyFill="1">
      <alignment/>
      <protection/>
    </xf>
    <xf numFmtId="5" fontId="32" fillId="0" borderId="0" xfId="77" applyNumberFormat="1" applyFont="1" applyFill="1" applyBorder="1">
      <alignment/>
      <protection/>
    </xf>
    <xf numFmtId="5" fontId="32" fillId="0" borderId="0" xfId="77" applyNumberFormat="1" applyFont="1" applyFill="1">
      <alignment/>
      <protection/>
    </xf>
    <xf numFmtId="5" fontId="11" fillId="0" borderId="43" xfId="77" applyNumberFormat="1" applyFont="1" applyFill="1" applyBorder="1">
      <alignment/>
      <protection/>
    </xf>
    <xf numFmtId="5" fontId="32" fillId="0" borderId="32" xfId="77" applyNumberFormat="1" applyFont="1" applyFill="1" applyBorder="1">
      <alignment/>
      <protection/>
    </xf>
    <xf numFmtId="5" fontId="32" fillId="0" borderId="43" xfId="77" applyNumberFormat="1" applyFont="1" applyFill="1" applyBorder="1">
      <alignment/>
      <protection/>
    </xf>
    <xf numFmtId="37" fontId="11" fillId="0" borderId="41" xfId="77" applyNumberFormat="1" applyFont="1" applyFill="1" applyBorder="1">
      <alignment/>
      <protection/>
    </xf>
    <xf numFmtId="37" fontId="11" fillId="0" borderId="0" xfId="77" applyNumberFormat="1" applyFont="1" applyFill="1" applyBorder="1">
      <alignment/>
      <protection/>
    </xf>
    <xf numFmtId="37" fontId="32" fillId="0" borderId="0" xfId="77" applyNumberFormat="1" applyFont="1" applyFill="1" applyBorder="1">
      <alignment/>
      <protection/>
    </xf>
    <xf numFmtId="37" fontId="11" fillId="0" borderId="43" xfId="77" applyNumberFormat="1" applyFont="1" applyFill="1" applyBorder="1">
      <alignment/>
      <protection/>
    </xf>
    <xf numFmtId="37" fontId="32" fillId="0" borderId="32" xfId="77" applyNumberFormat="1" applyFont="1" applyFill="1" applyBorder="1">
      <alignment/>
      <protection/>
    </xf>
    <xf numFmtId="37" fontId="32" fillId="0" borderId="43" xfId="77" applyNumberFormat="1" applyFont="1" applyFill="1" applyBorder="1">
      <alignment/>
      <protection/>
    </xf>
    <xf numFmtId="0" fontId="32" fillId="0" borderId="32" xfId="77" applyFont="1" applyFill="1" applyBorder="1">
      <alignment/>
      <protection/>
    </xf>
    <xf numFmtId="5" fontId="10" fillId="0" borderId="44" xfId="77" applyNumberFormat="1" applyFont="1" applyFill="1" applyBorder="1">
      <alignment/>
      <protection/>
    </xf>
    <xf numFmtId="5" fontId="11" fillId="0" borderId="11" xfId="77" applyNumberFormat="1" applyFont="1" applyFill="1" applyBorder="1">
      <alignment/>
      <protection/>
    </xf>
    <xf numFmtId="5" fontId="32" fillId="0" borderId="11" xfId="77" applyNumberFormat="1" applyFont="1" applyFill="1" applyBorder="1">
      <alignment/>
      <protection/>
    </xf>
    <xf numFmtId="5" fontId="11" fillId="0" borderId="45" xfId="77" applyNumberFormat="1" applyFont="1" applyFill="1" applyBorder="1">
      <alignment/>
      <protection/>
    </xf>
    <xf numFmtId="5" fontId="32" fillId="0" borderId="46" xfId="77" applyNumberFormat="1" applyFont="1" applyFill="1" applyBorder="1">
      <alignment/>
      <protection/>
    </xf>
    <xf numFmtId="5" fontId="32" fillId="0" borderId="45" xfId="77" applyNumberFormat="1" applyFont="1" applyFill="1" applyBorder="1">
      <alignment/>
      <protection/>
    </xf>
    <xf numFmtId="5" fontId="10" fillId="0" borderId="41" xfId="77" applyNumberFormat="1" applyFont="1" applyFill="1" applyBorder="1">
      <alignment/>
      <protection/>
    </xf>
    <xf numFmtId="37" fontId="11" fillId="0" borderId="0" xfId="77" applyNumberFormat="1" applyFont="1" applyFill="1">
      <alignment/>
      <protection/>
    </xf>
    <xf numFmtId="37" fontId="32" fillId="0" borderId="0" xfId="77" applyNumberFormat="1" applyFont="1" applyFill="1">
      <alignment/>
      <protection/>
    </xf>
    <xf numFmtId="0" fontId="11" fillId="0" borderId="41" xfId="77" applyFont="1" applyFill="1" applyBorder="1">
      <alignment/>
      <protection/>
    </xf>
    <xf numFmtId="37" fontId="32" fillId="0" borderId="47" xfId="77" applyNumberFormat="1" applyFont="1" applyFill="1" applyBorder="1">
      <alignment/>
      <protection/>
    </xf>
    <xf numFmtId="37" fontId="32" fillId="0" borderId="17" xfId="77" applyNumberFormat="1" applyFont="1" applyFill="1" applyBorder="1">
      <alignment/>
      <protection/>
    </xf>
    <xf numFmtId="37" fontId="32" fillId="0" borderId="48" xfId="77" applyNumberFormat="1" applyFont="1" applyFill="1" applyBorder="1">
      <alignment/>
      <protection/>
    </xf>
    <xf numFmtId="5" fontId="10" fillId="0" borderId="49" xfId="77" applyNumberFormat="1" applyFont="1" applyFill="1" applyBorder="1">
      <alignment/>
      <protection/>
    </xf>
    <xf numFmtId="5" fontId="10" fillId="0" borderId="12" xfId="77" applyNumberFormat="1" applyFont="1" applyFill="1" applyBorder="1">
      <alignment/>
      <protection/>
    </xf>
    <xf numFmtId="5" fontId="51" fillId="0" borderId="12" xfId="77" applyNumberFormat="1" applyFont="1" applyFill="1" applyBorder="1">
      <alignment/>
      <protection/>
    </xf>
    <xf numFmtId="5" fontId="10" fillId="0" borderId="50" xfId="77" applyNumberFormat="1" applyFont="1" applyFill="1" applyBorder="1">
      <alignment/>
      <protection/>
    </xf>
    <xf numFmtId="5" fontId="51" fillId="0" borderId="51" xfId="77" applyNumberFormat="1" applyFont="1" applyFill="1" applyBorder="1">
      <alignment/>
      <protection/>
    </xf>
    <xf numFmtId="5" fontId="51" fillId="0" borderId="52" xfId="77" applyNumberFormat="1" applyFont="1" applyFill="1" applyBorder="1">
      <alignment/>
      <protection/>
    </xf>
    <xf numFmtId="5" fontId="51" fillId="0" borderId="10" xfId="77" applyNumberFormat="1" applyFont="1" applyFill="1" applyBorder="1">
      <alignment/>
      <protection/>
    </xf>
    <xf numFmtId="5" fontId="51" fillId="0" borderId="38" xfId="77" applyNumberFormat="1" applyFont="1" applyFill="1" applyBorder="1">
      <alignment/>
      <protection/>
    </xf>
    <xf numFmtId="0" fontId="32" fillId="0" borderId="0" xfId="77" applyFont="1" applyFill="1">
      <alignment/>
      <protection/>
    </xf>
    <xf numFmtId="0" fontId="8" fillId="0" borderId="0" xfId="77" applyFont="1" applyFill="1">
      <alignment/>
      <protection/>
    </xf>
    <xf numFmtId="0" fontId="0" fillId="0" borderId="0" xfId="77" applyFont="1" applyFill="1">
      <alignment/>
      <protection/>
    </xf>
    <xf numFmtId="166" fontId="0" fillId="0" borderId="0" xfId="77" applyNumberFormat="1" applyFont="1" applyFill="1">
      <alignment/>
      <protection/>
    </xf>
    <xf numFmtId="0" fontId="8" fillId="0" borderId="0" xfId="77" applyNumberFormat="1" applyFont="1" applyFill="1" applyAlignment="1">
      <alignment/>
      <protection/>
    </xf>
    <xf numFmtId="5" fontId="0" fillId="0" borderId="0" xfId="77" applyNumberFormat="1" applyFont="1" applyFill="1">
      <alignment/>
      <protection/>
    </xf>
    <xf numFmtId="0" fontId="3" fillId="0" borderId="0" xfId="77" applyFont="1" applyFill="1">
      <alignment/>
      <protection/>
    </xf>
    <xf numFmtId="0" fontId="52" fillId="0" borderId="0" xfId="77" applyFont="1" applyFill="1">
      <alignment/>
      <protection/>
    </xf>
    <xf numFmtId="7" fontId="11" fillId="0" borderId="0" xfId="77" applyNumberFormat="1" applyFont="1" applyFill="1">
      <alignment/>
      <protection/>
    </xf>
    <xf numFmtId="0" fontId="11" fillId="0" borderId="0" xfId="77" applyFont="1" applyFill="1" applyAlignment="1">
      <alignment horizontal="center"/>
      <protection/>
    </xf>
    <xf numFmtId="0" fontId="0" fillId="0" borderId="0" xfId="77" applyFont="1" applyFill="1" applyAlignment="1">
      <alignment horizontal="center"/>
      <protection/>
    </xf>
    <xf numFmtId="7" fontId="0" fillId="0" borderId="0" xfId="77" applyNumberFormat="1" applyFont="1" applyFill="1" applyAlignment="1">
      <alignment horizontal="center"/>
      <protection/>
    </xf>
    <xf numFmtId="7" fontId="3" fillId="0" borderId="0" xfId="77" applyNumberFormat="1" applyFont="1" applyFill="1" applyAlignment="1">
      <alignment horizontal="center"/>
      <protection/>
    </xf>
    <xf numFmtId="5" fontId="11" fillId="0" borderId="0" xfId="77" applyNumberFormat="1" applyFont="1" applyFill="1" applyAlignment="1">
      <alignment horizontal="center"/>
      <protection/>
    </xf>
    <xf numFmtId="0" fontId="8" fillId="0" borderId="0" xfId="77" applyNumberFormat="1" applyFont="1" applyFill="1" applyAlignment="1">
      <alignment wrapText="1"/>
      <protection/>
    </xf>
    <xf numFmtId="0" fontId="52" fillId="0" borderId="0" xfId="77" applyNumberFormat="1" applyFont="1" applyFill="1" applyAlignment="1">
      <alignment wrapText="1"/>
      <protection/>
    </xf>
    <xf numFmtId="0" fontId="52" fillId="0" borderId="0" xfId="77" applyNumberFormat="1" applyFont="1" applyFill="1" applyAlignment="1">
      <alignment/>
      <protection/>
    </xf>
    <xf numFmtId="0" fontId="11" fillId="0" borderId="0" xfId="77" applyFont="1" applyFill="1" applyAlignment="1">
      <alignment vertical="center"/>
      <protection/>
    </xf>
    <xf numFmtId="5" fontId="11" fillId="0" borderId="0" xfId="77" applyNumberFormat="1" applyFont="1" applyFill="1" applyAlignment="1">
      <alignment vertical="center"/>
      <protection/>
    </xf>
    <xf numFmtId="0" fontId="32" fillId="0" borderId="0" xfId="77" applyFont="1" applyFill="1" applyAlignment="1">
      <alignment vertical="center"/>
      <protection/>
    </xf>
    <xf numFmtId="7" fontId="11" fillId="0" borderId="0" xfId="77" applyNumberFormat="1" applyFont="1" applyFill="1" applyAlignment="1">
      <alignment vertical="center"/>
      <protection/>
    </xf>
    <xf numFmtId="5" fontId="32" fillId="0" borderId="0" xfId="77" applyNumberFormat="1" applyFont="1" applyFill="1" applyAlignment="1">
      <alignment vertical="center"/>
      <protection/>
    </xf>
    <xf numFmtId="165" fontId="93" fillId="0" borderId="22" xfId="78" applyNumberFormat="1" applyFont="1" applyBorder="1">
      <alignment/>
      <protection/>
    </xf>
    <xf numFmtId="37" fontId="93" fillId="0" borderId="22" xfId="78" applyNumberFormat="1" applyFont="1" applyBorder="1">
      <alignment/>
      <protection/>
    </xf>
    <xf numFmtId="3" fontId="93" fillId="0" borderId="22" xfId="78" applyNumberFormat="1" applyFont="1" applyBorder="1">
      <alignment/>
      <protection/>
    </xf>
    <xf numFmtId="0" fontId="93" fillId="0" borderId="10" xfId="70" applyFont="1" applyFill="1" applyBorder="1" applyAlignment="1">
      <alignment horizontal="centerContinuous"/>
      <protection/>
    </xf>
    <xf numFmtId="0" fontId="97" fillId="0" borderId="22" xfId="70" applyFont="1" applyFill="1" applyBorder="1">
      <alignment/>
      <protection/>
    </xf>
    <xf numFmtId="37" fontId="11" fillId="0" borderId="0" xfId="69" applyNumberFormat="1" applyFont="1" applyFill="1" applyAlignment="1">
      <alignment vertical="top"/>
      <protection/>
    </xf>
    <xf numFmtId="37" fontId="109" fillId="0" borderId="19" xfId="52" applyNumberFormat="1" applyFont="1" applyFill="1" applyBorder="1" applyAlignment="1">
      <alignment horizontal="center" wrapText="1"/>
    </xf>
    <xf numFmtId="5" fontId="99" fillId="0" borderId="0" xfId="52" applyNumberFormat="1" applyFont="1" applyFill="1" applyBorder="1" applyAlignment="1">
      <alignment/>
    </xf>
    <xf numFmtId="37" fontId="99" fillId="0" borderId="0" xfId="52" applyNumberFormat="1" applyFont="1" applyFill="1" applyBorder="1" applyAlignment="1">
      <alignment/>
    </xf>
    <xf numFmtId="5" fontId="99" fillId="0" borderId="11" xfId="52" applyNumberFormat="1" applyFont="1" applyFill="1" applyBorder="1" applyAlignment="1">
      <alignment/>
    </xf>
    <xf numFmtId="37" fontId="99" fillId="0" borderId="17" xfId="52" applyNumberFormat="1" applyFont="1" applyFill="1" applyBorder="1" applyAlignment="1">
      <alignment/>
    </xf>
    <xf numFmtId="5" fontId="99" fillId="0" borderId="12" xfId="52" applyNumberFormat="1" applyFont="1" applyFill="1" applyBorder="1" applyAlignment="1">
      <alignment/>
    </xf>
    <xf numFmtId="37" fontId="110" fillId="0" borderId="0" xfId="74" applyNumberFormat="1" applyFont="1" applyFill="1">
      <alignment/>
      <protection/>
    </xf>
    <xf numFmtId="37" fontId="102" fillId="0" borderId="0" xfId="74" applyNumberFormat="1" applyFont="1" applyFill="1" applyBorder="1" applyAlignment="1">
      <alignment horizontal="center"/>
      <protection/>
    </xf>
    <xf numFmtId="37" fontId="51" fillId="0" borderId="0" xfId="0" applyNumberFormat="1" applyFont="1" applyFill="1" applyBorder="1" applyAlignment="1">
      <alignment horizontal="center"/>
    </xf>
    <xf numFmtId="37" fontId="3" fillId="0" borderId="0" xfId="0" applyNumberFormat="1" applyFont="1" applyFill="1" applyBorder="1" applyAlignment="1">
      <alignment horizontal="center" wrapText="1"/>
    </xf>
    <xf numFmtId="37" fontId="52" fillId="0" borderId="0" xfId="0" applyNumberFormat="1" applyFont="1" applyFill="1" applyBorder="1" applyAlignment="1">
      <alignment horizontal="center" vertical="center"/>
    </xf>
    <xf numFmtId="37" fontId="52" fillId="0" borderId="0" xfId="0" applyNumberFormat="1" applyFont="1" applyFill="1" applyBorder="1" applyAlignment="1">
      <alignment/>
    </xf>
    <xf numFmtId="5" fontId="32" fillId="0" borderId="0" xfId="0" applyNumberFormat="1" applyFont="1" applyFill="1" applyBorder="1" applyAlignment="1">
      <alignment/>
    </xf>
    <xf numFmtId="37" fontId="32" fillId="0" borderId="0" xfId="0" applyNumberFormat="1" applyFont="1" applyFill="1" applyBorder="1" applyAlignment="1">
      <alignment/>
    </xf>
    <xf numFmtId="37" fontId="32" fillId="0" borderId="0" xfId="0" applyNumberFormat="1" applyFont="1" applyFill="1" applyBorder="1" applyAlignment="1">
      <alignment/>
    </xf>
    <xf numFmtId="5" fontId="32" fillId="0" borderId="11" xfId="0" applyNumberFormat="1" applyFont="1" applyFill="1" applyBorder="1" applyAlignment="1">
      <alignment/>
    </xf>
    <xf numFmtId="37" fontId="32" fillId="0" borderId="0" xfId="0" applyNumberFormat="1" applyFont="1" applyFill="1" applyAlignment="1">
      <alignment/>
    </xf>
    <xf numFmtId="5" fontId="32" fillId="0" borderId="12" xfId="0" applyNumberFormat="1" applyFont="1" applyFill="1" applyBorder="1" applyAlignment="1">
      <alignment/>
    </xf>
    <xf numFmtId="37" fontId="110" fillId="0" borderId="0" xfId="74" applyNumberFormat="1" applyFont="1" applyFill="1" applyBorder="1">
      <alignment/>
      <protection/>
    </xf>
    <xf numFmtId="37" fontId="109" fillId="0" borderId="14" xfId="52" applyNumberFormat="1" applyFont="1" applyFill="1" applyBorder="1" applyAlignment="1">
      <alignment horizontal="center" wrapText="1"/>
    </xf>
    <xf numFmtId="5" fontId="99" fillId="0" borderId="13" xfId="52" applyNumberFormat="1" applyFont="1" applyFill="1" applyBorder="1" applyAlignment="1">
      <alignment/>
    </xf>
    <xf numFmtId="37" fontId="99" fillId="0" borderId="13" xfId="52" applyNumberFormat="1" applyFont="1" applyFill="1" applyBorder="1" applyAlignment="1">
      <alignment/>
    </xf>
    <xf numFmtId="5" fontId="99" fillId="0" borderId="15" xfId="52" applyNumberFormat="1" applyFont="1" applyFill="1" applyBorder="1" applyAlignment="1">
      <alignment/>
    </xf>
    <xf numFmtId="37" fontId="99" fillId="0" borderId="26" xfId="52" applyNumberFormat="1" applyFont="1" applyFill="1" applyBorder="1" applyAlignment="1">
      <alignment/>
    </xf>
    <xf numFmtId="5" fontId="99" fillId="0" borderId="16" xfId="52" applyNumberFormat="1" applyFont="1" applyFill="1" applyBorder="1" applyAlignment="1">
      <alignment/>
    </xf>
    <xf numFmtId="37" fontId="110" fillId="0" borderId="0" xfId="52" applyNumberFormat="1" applyFont="1" applyFill="1" applyAlignment="1">
      <alignment/>
    </xf>
    <xf numFmtId="0" fontId="42" fillId="0" borderId="10" xfId="77" applyFont="1" applyFill="1" applyBorder="1" applyAlignment="1">
      <alignment horizontal="center" wrapText="1"/>
      <protection/>
    </xf>
    <xf numFmtId="37" fontId="2" fillId="0" borderId="53" xfId="0" applyNumberFormat="1" applyFont="1" applyFill="1" applyBorder="1" applyAlignment="1">
      <alignment horizontal="center" vertical="center"/>
    </xf>
    <xf numFmtId="37" fontId="2" fillId="0" borderId="17" xfId="0" applyNumberFormat="1" applyFont="1" applyFill="1" applyBorder="1" applyAlignment="1" quotePrefix="1">
      <alignment horizontal="center" vertical="center"/>
    </xf>
    <xf numFmtId="37" fontId="2" fillId="0" borderId="11" xfId="0" applyNumberFormat="1" applyFont="1" applyFill="1" applyBorder="1" applyAlignment="1">
      <alignment horizontal="center"/>
    </xf>
    <xf numFmtId="37" fontId="0" fillId="0" borderId="0" xfId="0" applyNumberFormat="1" applyFont="1" applyFill="1" applyAlignment="1">
      <alignment horizontal="left" vertical="top" wrapText="1"/>
    </xf>
    <xf numFmtId="37" fontId="95" fillId="0" borderId="17" xfId="52" applyNumberFormat="1" applyFont="1" applyFill="1" applyBorder="1" applyAlignment="1">
      <alignment horizontal="center"/>
    </xf>
    <xf numFmtId="37" fontId="4" fillId="0" borderId="10" xfId="0" applyNumberFormat="1" applyFont="1" applyFill="1" applyBorder="1" applyAlignment="1">
      <alignment horizontal="center"/>
    </xf>
    <xf numFmtId="0" fontId="10" fillId="0" borderId="42" xfId="77" applyFont="1" applyFill="1" applyBorder="1" applyAlignment="1">
      <alignment horizontal="center"/>
      <protection/>
    </xf>
    <xf numFmtId="0" fontId="10" fillId="0" borderId="33" xfId="77" applyFont="1" applyFill="1" applyBorder="1" applyAlignment="1">
      <alignment horizontal="center"/>
      <protection/>
    </xf>
    <xf numFmtId="0" fontId="10" fillId="0" borderId="54" xfId="77" applyFont="1" applyFill="1" applyBorder="1" applyAlignment="1">
      <alignment horizontal="center"/>
      <protection/>
    </xf>
    <xf numFmtId="37" fontId="111" fillId="0" borderId="33" xfId="70" applyNumberFormat="1" applyFont="1" applyFill="1" applyBorder="1" applyAlignment="1" quotePrefix="1">
      <alignment horizontal="center" vertical="center" wrapText="1"/>
      <protection/>
    </xf>
    <xf numFmtId="0" fontId="10" fillId="0" borderId="39" xfId="77" applyFont="1" applyFill="1" applyBorder="1" applyAlignment="1">
      <alignment horizontal="center"/>
      <protection/>
    </xf>
    <xf numFmtId="0" fontId="10" fillId="0" borderId="37" xfId="77" applyFont="1" applyFill="1" applyBorder="1" applyAlignment="1">
      <alignment horizontal="center"/>
      <protection/>
    </xf>
    <xf numFmtId="0" fontId="10" fillId="0" borderId="40" xfId="77" applyFont="1" applyFill="1" applyBorder="1" applyAlignment="1">
      <alignment horizontal="center"/>
      <protection/>
    </xf>
    <xf numFmtId="0" fontId="4" fillId="0" borderId="39" xfId="77" applyFont="1" applyFill="1" applyBorder="1" applyAlignment="1">
      <alignment horizontal="center"/>
      <protection/>
    </xf>
    <xf numFmtId="0" fontId="4" fillId="0" borderId="37" xfId="77" applyFont="1" applyFill="1" applyBorder="1" applyAlignment="1">
      <alignment horizontal="center"/>
      <protection/>
    </xf>
    <xf numFmtId="0" fontId="4" fillId="0" borderId="40" xfId="77" applyFont="1" applyFill="1" applyBorder="1" applyAlignment="1">
      <alignment horizontal="center"/>
      <protection/>
    </xf>
    <xf numFmtId="37" fontId="10" fillId="0" borderId="10" xfId="82" applyNumberFormat="1" applyFont="1" applyFill="1" applyBorder="1" applyAlignment="1">
      <alignment horizontal="center"/>
      <protection/>
    </xf>
    <xf numFmtId="37" fontId="0" fillId="0" borderId="0" xfId="82" applyNumberFormat="1" applyFont="1" applyFill="1" applyAlignment="1">
      <alignment horizontal="left" vertical="top" wrapText="1"/>
      <protection/>
    </xf>
    <xf numFmtId="37" fontId="0" fillId="0" borderId="0" xfId="82" applyNumberFormat="1" applyFill="1" applyAlignment="1">
      <alignment horizontal="left" vertical="top" wrapText="1"/>
      <protection/>
    </xf>
    <xf numFmtId="0" fontId="95" fillId="0" borderId="35" xfId="70" applyFont="1" applyFill="1" applyBorder="1" applyAlignment="1" quotePrefix="1">
      <alignment horizontal="center" wrapText="1"/>
      <protection/>
    </xf>
    <xf numFmtId="0" fontId="95" fillId="0" borderId="11" xfId="70" applyFont="1" applyFill="1" applyBorder="1" applyAlignment="1" quotePrefix="1">
      <alignment horizontal="center" wrapText="1"/>
      <protection/>
    </xf>
    <xf numFmtId="0" fontId="95" fillId="0" borderId="55" xfId="70" applyFont="1" applyFill="1" applyBorder="1" applyAlignment="1" quotePrefix="1">
      <alignment horizontal="center" wrapText="1"/>
      <protection/>
    </xf>
    <xf numFmtId="0" fontId="93" fillId="0" borderId="20" xfId="70" applyFont="1" applyFill="1" applyBorder="1" applyAlignment="1">
      <alignment horizontal="center" wrapText="1"/>
      <protection/>
    </xf>
    <xf numFmtId="0" fontId="93" fillId="0" borderId="21" xfId="70" applyFont="1" applyFill="1" applyBorder="1" applyAlignment="1">
      <alignment horizontal="center" wrapText="1"/>
      <protection/>
    </xf>
    <xf numFmtId="0" fontId="93" fillId="0" borderId="29" xfId="70" applyFont="1" applyFill="1" applyBorder="1" applyAlignment="1">
      <alignment horizontal="center" wrapText="1"/>
      <protection/>
    </xf>
    <xf numFmtId="0" fontId="93" fillId="0" borderId="31" xfId="70" applyFont="1" applyFill="1" applyBorder="1" applyAlignment="1">
      <alignment horizontal="center" wrapText="1"/>
      <protection/>
    </xf>
    <xf numFmtId="0" fontId="95" fillId="0" borderId="20" xfId="70" applyFont="1" applyFill="1" applyBorder="1" applyAlignment="1">
      <alignment horizontal="center" wrapText="1"/>
      <protection/>
    </xf>
    <xf numFmtId="0" fontId="95" fillId="0" borderId="10" xfId="70" applyFont="1" applyFill="1" applyBorder="1" applyAlignment="1">
      <alignment horizontal="center" wrapText="1"/>
      <protection/>
    </xf>
    <xf numFmtId="0" fontId="95" fillId="0" borderId="21" xfId="70" applyFont="1" applyFill="1" applyBorder="1" applyAlignment="1">
      <alignment horizontal="center" wrapText="1"/>
      <protection/>
    </xf>
    <xf numFmtId="0" fontId="96" fillId="0" borderId="0" xfId="70" applyFont="1" applyFill="1" applyBorder="1" applyAlignment="1">
      <alignment horizontal="left" vertical="top" wrapText="1"/>
      <protection/>
    </xf>
    <xf numFmtId="0" fontId="94" fillId="0" borderId="0" xfId="70" applyFont="1" applyFill="1" applyBorder="1" applyAlignment="1">
      <alignment horizontal="left" vertical="top" wrapText="1"/>
      <protection/>
    </xf>
    <xf numFmtId="37" fontId="4" fillId="0" borderId="17" xfId="73" applyNumberFormat="1" applyFont="1" applyFill="1" applyBorder="1" applyAlignment="1">
      <alignment horizontal="center" vertical="center"/>
      <protection/>
    </xf>
    <xf numFmtId="0" fontId="5" fillId="0" borderId="0" xfId="0" applyNumberFormat="1" applyFont="1" applyAlignment="1">
      <alignment wrapText="1"/>
    </xf>
    <xf numFmtId="0" fontId="15" fillId="0" borderId="0" xfId="0" applyFont="1" applyAlignment="1">
      <alignment wrapText="1"/>
    </xf>
    <xf numFmtId="0" fontId="5" fillId="0" borderId="0" xfId="73" applyFont="1" applyAlignment="1">
      <alignment horizontal="left" wrapText="1"/>
      <protection/>
    </xf>
  </cellXfs>
  <cellStyles count="7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4 2" xfId="48"/>
    <cellStyle name="Comma 5" xfId="49"/>
    <cellStyle name="Comma 6" xfId="50"/>
    <cellStyle name="Comma 6 2" xfId="51"/>
    <cellStyle name="Comma 7" xfId="52"/>
    <cellStyle name="Comma 7 2" xfId="53"/>
    <cellStyle name="Currency" xfId="54"/>
    <cellStyle name="Currency [0]" xfId="55"/>
    <cellStyle name="Currency 2" xfId="56"/>
    <cellStyle name="Currency 2 2" xfId="57"/>
    <cellStyle name="Currency 3" xfId="58"/>
    <cellStyle name="Currency 3 2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 2 2" xfId="70"/>
    <cellStyle name="Normal 3" xfId="71"/>
    <cellStyle name="Normal 4" xfId="72"/>
    <cellStyle name="Normal 4 2" xfId="73"/>
    <cellStyle name="Normal 5" xfId="74"/>
    <cellStyle name="Normal 5 2" xfId="75"/>
    <cellStyle name="Normal 5 2 2" xfId="76"/>
    <cellStyle name="Normal 5 2 3" xfId="77"/>
    <cellStyle name="Normal 5 2 4" xfId="78"/>
    <cellStyle name="Normal 6" xfId="79"/>
    <cellStyle name="Normal 7" xfId="80"/>
    <cellStyle name="Normal 7 2" xfId="81"/>
    <cellStyle name="Normal 8" xfId="82"/>
    <cellStyle name="Normal 8 2" xfId="83"/>
    <cellStyle name="Note" xfId="84"/>
    <cellStyle name="Output" xfId="85"/>
    <cellStyle name="Percent" xfId="86"/>
    <cellStyle name="Percent 2" xfId="87"/>
    <cellStyle name="Percent 3" xfId="88"/>
    <cellStyle name="Title" xfId="89"/>
    <cellStyle name="Total" xfId="90"/>
    <cellStyle name="Warning Text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1"/>
  <sheetViews>
    <sheetView tabSelected="1" zoomScale="110" zoomScaleNormal="110" zoomScalePageLayoutView="0" workbookViewId="0" topLeftCell="A1">
      <pane xSplit="2" ySplit="6" topLeftCell="C1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J11" sqref="J11"/>
    </sheetView>
  </sheetViews>
  <sheetFormatPr defaultColWidth="9.33203125" defaultRowHeight="12.75"/>
  <cols>
    <col min="1" max="1" width="2.33203125" style="1" customWidth="1"/>
    <col min="2" max="2" width="19.83203125" style="1" customWidth="1"/>
    <col min="3" max="3" width="14.83203125" style="1" customWidth="1"/>
    <col min="4" max="4" width="1.83203125" style="1" customWidth="1"/>
    <col min="5" max="5" width="14.83203125" style="1" customWidth="1"/>
    <col min="6" max="6" width="13.33203125" style="1" customWidth="1"/>
    <col min="7" max="7" width="14.83203125" style="1" customWidth="1"/>
    <col min="8" max="8" width="3.83203125" style="8" customWidth="1"/>
    <col min="9" max="9" width="1.83203125" style="8" customWidth="1"/>
    <col min="10" max="10" width="13.66015625" style="1" customWidth="1"/>
    <col min="11" max="11" width="1.83203125" style="1" customWidth="1"/>
    <col min="12" max="12" width="14.33203125" style="1" customWidth="1"/>
    <col min="13" max="13" width="1.83203125" style="1" customWidth="1"/>
    <col min="14" max="14" width="13.66015625" style="1" customWidth="1"/>
    <col min="15" max="15" width="1.83203125" style="1" customWidth="1"/>
    <col min="16" max="16" width="3.83203125" style="8" customWidth="1"/>
    <col min="17" max="18" width="14.83203125" style="1" customWidth="1"/>
    <col min="19" max="19" width="13.33203125" style="1" customWidth="1"/>
    <col min="20" max="20" width="14.83203125" style="1" customWidth="1"/>
    <col min="21" max="21" width="9.33203125" style="1" customWidth="1"/>
    <col min="22" max="23" width="15" style="1" bestFit="1" customWidth="1"/>
    <col min="24" max="24" width="14" style="1" bestFit="1" customWidth="1"/>
    <col min="25" max="16384" width="9.33203125" style="1" customWidth="1"/>
  </cols>
  <sheetData>
    <row r="1" spans="2:19" ht="18" customHeight="1">
      <c r="B1" s="77" t="s">
        <v>149</v>
      </c>
      <c r="S1" s="78" t="s">
        <v>195</v>
      </c>
    </row>
    <row r="2" ht="16.5" customHeight="1">
      <c r="B2" s="80"/>
    </row>
    <row r="3" spans="2:20" s="36" customFormat="1" ht="18" customHeight="1" thickBot="1">
      <c r="B3" s="35"/>
      <c r="C3" s="3">
        <v>-1</v>
      </c>
      <c r="D3" s="3"/>
      <c r="E3" s="3">
        <v>-2</v>
      </c>
      <c r="F3" s="3">
        <v>-3</v>
      </c>
      <c r="G3" s="3">
        <v>-4</v>
      </c>
      <c r="H3" s="43"/>
      <c r="I3" s="82"/>
      <c r="J3" s="3">
        <v>-5</v>
      </c>
      <c r="K3" s="3"/>
      <c r="L3" s="3">
        <v>-6</v>
      </c>
      <c r="M3" s="3"/>
      <c r="N3" s="3">
        <v>-7</v>
      </c>
      <c r="O3" s="3"/>
      <c r="P3" s="5"/>
      <c r="Q3" s="3">
        <v>-8</v>
      </c>
      <c r="R3" s="3">
        <v>-9</v>
      </c>
      <c r="S3" s="3">
        <v>-10</v>
      </c>
      <c r="T3" s="3">
        <v>-11</v>
      </c>
    </row>
    <row r="4" spans="3:20" s="4" customFormat="1" ht="18" customHeight="1">
      <c r="C4" s="454" t="s">
        <v>74</v>
      </c>
      <c r="D4" s="454"/>
      <c r="E4" s="454"/>
      <c r="F4" s="454"/>
      <c r="G4" s="454"/>
      <c r="H4" s="44"/>
      <c r="I4" s="455" t="s">
        <v>133</v>
      </c>
      <c r="J4" s="455"/>
      <c r="K4" s="455"/>
      <c r="L4" s="455"/>
      <c r="M4" s="455"/>
      <c r="N4" s="455"/>
      <c r="O4" s="455"/>
      <c r="P4" s="44"/>
      <c r="Q4" s="454" t="s">
        <v>150</v>
      </c>
      <c r="R4" s="454"/>
      <c r="S4" s="454"/>
      <c r="T4" s="454"/>
    </row>
    <row r="5" spans="3:20" s="4" customFormat="1" ht="12.75">
      <c r="C5" s="5"/>
      <c r="D5" s="5"/>
      <c r="E5" s="5"/>
      <c r="F5" s="5"/>
      <c r="G5" s="5"/>
      <c r="H5" s="44"/>
      <c r="I5" s="44"/>
      <c r="J5" s="456" t="s">
        <v>117</v>
      </c>
      <c r="K5" s="456"/>
      <c r="L5" s="456"/>
      <c r="M5" s="179"/>
      <c r="N5" s="301" t="s">
        <v>122</v>
      </c>
      <c r="O5" s="136"/>
      <c r="P5" s="44"/>
      <c r="Q5" s="5"/>
      <c r="R5" s="5"/>
      <c r="S5" s="5"/>
      <c r="T5" s="5"/>
    </row>
    <row r="6" spans="2:20" s="14" customFormat="1" ht="57" customHeight="1" thickBot="1">
      <c r="B6" s="13"/>
      <c r="C6" s="85" t="s">
        <v>146</v>
      </c>
      <c r="D6" s="85"/>
      <c r="E6" s="85" t="s">
        <v>135</v>
      </c>
      <c r="F6" s="85" t="s">
        <v>121</v>
      </c>
      <c r="G6" s="13" t="s">
        <v>28</v>
      </c>
      <c r="H6" s="29"/>
      <c r="I6" s="29"/>
      <c r="J6" s="85" t="s">
        <v>118</v>
      </c>
      <c r="K6" s="32"/>
      <c r="L6" s="85" t="s">
        <v>119</v>
      </c>
      <c r="M6" s="32"/>
      <c r="N6" s="85" t="s">
        <v>120</v>
      </c>
      <c r="O6" s="32"/>
      <c r="P6" s="29"/>
      <c r="Q6" s="85" t="s">
        <v>75</v>
      </c>
      <c r="R6" s="85" t="s">
        <v>136</v>
      </c>
      <c r="S6" s="13" t="s">
        <v>38</v>
      </c>
      <c r="T6" s="85" t="s">
        <v>104</v>
      </c>
    </row>
    <row r="7" spans="2:20" s="6" customFormat="1" ht="24">
      <c r="B7" s="15"/>
      <c r="C7" s="15"/>
      <c r="D7" s="15"/>
      <c r="E7" s="15"/>
      <c r="F7" s="15"/>
      <c r="G7" s="16" t="s">
        <v>37</v>
      </c>
      <c r="H7" s="15"/>
      <c r="I7" s="15"/>
      <c r="J7" s="17" t="s">
        <v>115</v>
      </c>
      <c r="K7" s="17"/>
      <c r="L7" s="183" t="s">
        <v>193</v>
      </c>
      <c r="M7" s="17"/>
      <c r="N7" s="17" t="s">
        <v>183</v>
      </c>
      <c r="O7" s="17"/>
      <c r="P7" s="15"/>
      <c r="Q7" s="18" t="s">
        <v>69</v>
      </c>
      <c r="R7" s="18" t="s">
        <v>68</v>
      </c>
      <c r="S7" s="51" t="s">
        <v>129</v>
      </c>
      <c r="T7" s="16" t="s">
        <v>70</v>
      </c>
    </row>
    <row r="8" ht="9" customHeight="1"/>
    <row r="9" spans="2:22" s="7" customFormat="1" ht="12.75">
      <c r="B9" s="9" t="s">
        <v>0</v>
      </c>
      <c r="C9" s="23">
        <v>55175299</v>
      </c>
      <c r="D9" s="23"/>
      <c r="E9" s="224">
        <v>30983000</v>
      </c>
      <c r="F9" s="225">
        <v>2816000</v>
      </c>
      <c r="G9" s="7">
        <f>SUM(C9:F9)</f>
        <v>88974299</v>
      </c>
      <c r="H9" s="9"/>
      <c r="I9" s="9"/>
      <c r="J9" s="7">
        <f>'(B) Base Bud Adj'!L8</f>
        <v>2362690</v>
      </c>
      <c r="L9" s="7">
        <f>'(C) 11-12 Expenditure Adjust.'!R8</f>
        <v>-8796500</v>
      </c>
      <c r="N9" s="7">
        <f>'(D) Tuition Revenue'!AG8</f>
        <v>9293000</v>
      </c>
      <c r="P9" s="9"/>
      <c r="Q9" s="7">
        <f>C9+J9+L9</f>
        <v>48741489</v>
      </c>
      <c r="R9" s="7">
        <f aca="true" t="shared" si="0" ref="R9:R31">E9+N9</f>
        <v>40276000</v>
      </c>
      <c r="S9" s="7">
        <f>F9</f>
        <v>2816000</v>
      </c>
      <c r="T9" s="7">
        <f>SUM(Q9:S9)</f>
        <v>91833489</v>
      </c>
      <c r="V9" s="1"/>
    </row>
    <row r="10" spans="2:20" ht="12.75">
      <c r="B10" s="8" t="s">
        <v>1</v>
      </c>
      <c r="C10" s="22">
        <v>45969040</v>
      </c>
      <c r="D10" s="22"/>
      <c r="E10" s="226">
        <v>16246000</v>
      </c>
      <c r="F10" s="227">
        <v>1240000</v>
      </c>
      <c r="G10" s="1">
        <f>SUM(C10:F10)</f>
        <v>63455040</v>
      </c>
      <c r="J10" s="1">
        <f>'(B) Base Bud Adj'!L9</f>
        <v>2089680</v>
      </c>
      <c r="L10" s="1">
        <f>'(C) 11-12 Expenditure Adjust.'!R9</f>
        <v>-3940400</v>
      </c>
      <c r="N10" s="1">
        <f>'(D) Tuition Revenue'!AG9</f>
        <v>5255000</v>
      </c>
      <c r="Q10" s="1">
        <f>C10+J10+L10</f>
        <v>44118320</v>
      </c>
      <c r="R10" s="1">
        <f t="shared" si="0"/>
        <v>21501000</v>
      </c>
      <c r="S10" s="1">
        <f>F10</f>
        <v>1240000</v>
      </c>
      <c r="T10" s="1">
        <f>SUM(Q10:S10)</f>
        <v>66859320</v>
      </c>
    </row>
    <row r="11" spans="2:20" ht="12.75">
      <c r="B11" s="8" t="s">
        <v>2</v>
      </c>
      <c r="C11" s="22">
        <v>102076032</v>
      </c>
      <c r="D11" s="22"/>
      <c r="E11" s="226">
        <v>62886000</v>
      </c>
      <c r="F11" s="227">
        <v>9801000</v>
      </c>
      <c r="G11" s="1">
        <f aca="true" t="shared" si="1" ref="G11:G31">SUM(C11:F11)</f>
        <v>174763032</v>
      </c>
      <c r="J11" s="1">
        <f>'(B) Base Bud Adj'!L10</f>
        <v>3491390</v>
      </c>
      <c r="L11" s="1">
        <f>'(C) 11-12 Expenditure Adjust.'!R10</f>
        <v>-24237200</v>
      </c>
      <c r="N11" s="1">
        <f>'(D) Tuition Revenue'!AG10</f>
        <v>18638000</v>
      </c>
      <c r="Q11" s="1">
        <f aca="true" t="shared" si="2" ref="Q11:Q31">C11+J11+L11</f>
        <v>81330222</v>
      </c>
      <c r="R11" s="1">
        <f t="shared" si="0"/>
        <v>81524000</v>
      </c>
      <c r="S11" s="1">
        <f aca="true" t="shared" si="3" ref="S11:S31">F11</f>
        <v>9801000</v>
      </c>
      <c r="T11" s="1">
        <f>SUM(Q11:S11)</f>
        <v>172655222</v>
      </c>
    </row>
    <row r="12" spans="2:20" ht="12.75">
      <c r="B12" s="8" t="s">
        <v>3</v>
      </c>
      <c r="C12" s="22">
        <v>66950742</v>
      </c>
      <c r="D12" s="22"/>
      <c r="E12" s="226">
        <v>50316000</v>
      </c>
      <c r="F12" s="227">
        <v>3458000</v>
      </c>
      <c r="G12" s="1">
        <f t="shared" si="1"/>
        <v>120724742</v>
      </c>
      <c r="J12" s="1">
        <f>'(B) Base Bud Adj'!L11</f>
        <v>3818440</v>
      </c>
      <c r="L12" s="1">
        <f>'(C) 11-12 Expenditure Adjust.'!R11</f>
        <v>-11002300</v>
      </c>
      <c r="N12" s="1">
        <f>'(D) Tuition Revenue'!AG11</f>
        <v>14023000</v>
      </c>
      <c r="Q12" s="1">
        <f t="shared" si="2"/>
        <v>59766882</v>
      </c>
      <c r="R12" s="1">
        <f t="shared" si="0"/>
        <v>64339000</v>
      </c>
      <c r="S12" s="1">
        <f t="shared" si="3"/>
        <v>3458000</v>
      </c>
      <c r="T12" s="1">
        <f aca="true" t="shared" si="4" ref="T12:T31">SUM(Q12:S12)</f>
        <v>127563882</v>
      </c>
    </row>
    <row r="13" spans="2:20" ht="12.75">
      <c r="B13" s="8" t="s">
        <v>29</v>
      </c>
      <c r="C13" s="22">
        <v>77629521</v>
      </c>
      <c r="D13" s="22"/>
      <c r="E13" s="226">
        <v>60513000</v>
      </c>
      <c r="F13" s="227">
        <v>18178000</v>
      </c>
      <c r="G13" s="1">
        <f t="shared" si="1"/>
        <v>156320521</v>
      </c>
      <c r="J13" s="1">
        <f>'(B) Base Bud Adj'!L12</f>
        <v>2608320</v>
      </c>
      <c r="L13" s="1">
        <f>'(C) 11-12 Expenditure Adjust.'!R12</f>
        <v>-16215900</v>
      </c>
      <c r="N13" s="1">
        <f>'(D) Tuition Revenue'!AG12</f>
        <v>17587000</v>
      </c>
      <c r="Q13" s="1">
        <f t="shared" si="2"/>
        <v>64021941</v>
      </c>
      <c r="R13" s="1">
        <f t="shared" si="0"/>
        <v>78100000</v>
      </c>
      <c r="S13" s="1">
        <f t="shared" si="3"/>
        <v>18178000</v>
      </c>
      <c r="T13" s="1">
        <f t="shared" si="4"/>
        <v>160299941</v>
      </c>
    </row>
    <row r="14" spans="2:20" ht="12.75">
      <c r="B14" s="8" t="s">
        <v>4</v>
      </c>
      <c r="C14" s="22">
        <v>133844322</v>
      </c>
      <c r="D14" s="22"/>
      <c r="E14" s="226">
        <v>83558000</v>
      </c>
      <c r="F14" s="227">
        <v>11744000</v>
      </c>
      <c r="G14" s="1">
        <f t="shared" si="1"/>
        <v>229146322</v>
      </c>
      <c r="J14" s="1">
        <f>'(B) Base Bud Adj'!L13</f>
        <v>4417700</v>
      </c>
      <c r="L14" s="1">
        <f>'(C) 11-12 Expenditure Adjust.'!R13</f>
        <v>-32338200</v>
      </c>
      <c r="N14" s="1">
        <f>'(D) Tuition Revenue'!AG13</f>
        <v>22613000</v>
      </c>
      <c r="Q14" s="1">
        <f t="shared" si="2"/>
        <v>105923822</v>
      </c>
      <c r="R14" s="1">
        <f t="shared" si="0"/>
        <v>106171000</v>
      </c>
      <c r="S14" s="1">
        <f t="shared" si="3"/>
        <v>11744000</v>
      </c>
      <c r="T14" s="1">
        <f t="shared" si="4"/>
        <v>223838822</v>
      </c>
    </row>
    <row r="15" spans="2:20" ht="12.75">
      <c r="B15" s="8" t="s">
        <v>5</v>
      </c>
      <c r="C15" s="22">
        <v>151122657</v>
      </c>
      <c r="D15" s="22"/>
      <c r="E15" s="226">
        <v>141493000</v>
      </c>
      <c r="F15" s="227">
        <v>21712000</v>
      </c>
      <c r="G15" s="1">
        <f t="shared" si="1"/>
        <v>314327657</v>
      </c>
      <c r="J15" s="1">
        <f>'(B) Base Bud Adj'!L14</f>
        <v>12418504</v>
      </c>
      <c r="L15" s="1">
        <f>'(C) 11-12 Expenditure Adjust.'!R14</f>
        <v>-47455200</v>
      </c>
      <c r="N15" s="1">
        <f>'(D) Tuition Revenue'!AG14</f>
        <v>40240000</v>
      </c>
      <c r="Q15" s="1">
        <f t="shared" si="2"/>
        <v>116085961</v>
      </c>
      <c r="R15" s="1">
        <f t="shared" si="0"/>
        <v>181733000</v>
      </c>
      <c r="S15" s="1">
        <f t="shared" si="3"/>
        <v>21712000</v>
      </c>
      <c r="T15" s="1">
        <f t="shared" si="4"/>
        <v>319530961</v>
      </c>
    </row>
    <row r="16" spans="2:20" ht="12.75">
      <c r="B16" s="8" t="s">
        <v>6</v>
      </c>
      <c r="C16" s="22">
        <v>69875740</v>
      </c>
      <c r="D16" s="22"/>
      <c r="E16" s="226">
        <v>30954000</v>
      </c>
      <c r="F16" s="227">
        <v>7931000</v>
      </c>
      <c r="G16" s="1">
        <f t="shared" si="1"/>
        <v>108760740</v>
      </c>
      <c r="J16" s="1">
        <f>'(B) Base Bud Adj'!L15</f>
        <v>2420710</v>
      </c>
      <c r="L16" s="1">
        <f>'(C) 11-12 Expenditure Adjust.'!R15</f>
        <v>-12888100</v>
      </c>
      <c r="N16" s="1">
        <f>'(D) Tuition Revenue'!AG15</f>
        <v>8517000</v>
      </c>
      <c r="Q16" s="1">
        <f t="shared" si="2"/>
        <v>59408350</v>
      </c>
      <c r="R16" s="1">
        <f t="shared" si="0"/>
        <v>39471000</v>
      </c>
      <c r="S16" s="1">
        <f t="shared" si="3"/>
        <v>7931000</v>
      </c>
      <c r="T16" s="1">
        <f t="shared" si="4"/>
        <v>106810350</v>
      </c>
    </row>
    <row r="17" spans="2:20" ht="12.75">
      <c r="B17" s="8" t="s">
        <v>7</v>
      </c>
      <c r="C17" s="22">
        <v>174152206.16</v>
      </c>
      <c r="D17" s="22"/>
      <c r="E17" s="226">
        <v>141905000</v>
      </c>
      <c r="F17" s="227">
        <v>23075000</v>
      </c>
      <c r="G17" s="1">
        <f t="shared" si="1"/>
        <v>339132206.15999997</v>
      </c>
      <c r="J17" s="1">
        <f>'(B) Base Bud Adj'!L16</f>
        <v>6505930</v>
      </c>
      <c r="L17" s="1">
        <f>'(C) 11-12 Expenditure Adjust.'!R16</f>
        <v>-49263100</v>
      </c>
      <c r="N17" s="1">
        <f>'(D) Tuition Revenue'!AG16</f>
        <v>35764000</v>
      </c>
      <c r="Q17" s="1">
        <f t="shared" si="2"/>
        <v>131395036.16</v>
      </c>
      <c r="R17" s="1">
        <f t="shared" si="0"/>
        <v>177669000</v>
      </c>
      <c r="S17" s="1">
        <f t="shared" si="3"/>
        <v>23075000</v>
      </c>
      <c r="T17" s="1">
        <f t="shared" si="4"/>
        <v>332139036.15999997</v>
      </c>
    </row>
    <row r="18" spans="2:20" ht="12.75">
      <c r="B18" s="8" t="s">
        <v>8</v>
      </c>
      <c r="C18" s="22">
        <v>118213089</v>
      </c>
      <c r="D18" s="22"/>
      <c r="E18" s="226">
        <v>82557000</v>
      </c>
      <c r="F18" s="227">
        <v>15315000</v>
      </c>
      <c r="G18" s="1">
        <f t="shared" si="1"/>
        <v>216085089</v>
      </c>
      <c r="J18" s="1">
        <f>'(B) Base Bud Adj'!L17</f>
        <v>3618440</v>
      </c>
      <c r="L18" s="1">
        <f>'(C) 11-12 Expenditure Adjust.'!R17</f>
        <v>-24957400</v>
      </c>
      <c r="N18" s="1">
        <f>'(D) Tuition Revenue'!AG17</f>
        <v>22781000</v>
      </c>
      <c r="Q18" s="1">
        <f t="shared" si="2"/>
        <v>96874129</v>
      </c>
      <c r="R18" s="1">
        <f t="shared" si="0"/>
        <v>105338000</v>
      </c>
      <c r="S18" s="1">
        <f t="shared" si="3"/>
        <v>15315000</v>
      </c>
      <c r="T18" s="1">
        <f t="shared" si="4"/>
        <v>217527129</v>
      </c>
    </row>
    <row r="19" spans="2:20" ht="12.75">
      <c r="B19" s="8" t="s">
        <v>9</v>
      </c>
      <c r="C19" s="22">
        <v>19008771</v>
      </c>
      <c r="D19" s="22"/>
      <c r="E19" s="226">
        <v>3177000</v>
      </c>
      <c r="F19" s="227">
        <v>3010000</v>
      </c>
      <c r="G19" s="1">
        <f t="shared" si="1"/>
        <v>25195771</v>
      </c>
      <c r="J19" s="1">
        <f>'(B) Base Bud Adj'!L18</f>
        <v>2294480</v>
      </c>
      <c r="L19" s="1">
        <f>'(C) 11-12 Expenditure Adjust.'!R18</f>
        <v>-195500</v>
      </c>
      <c r="N19" s="1">
        <f>'(D) Tuition Revenue'!AG18</f>
        <v>1012000</v>
      </c>
      <c r="Q19" s="1">
        <f t="shared" si="2"/>
        <v>21107751</v>
      </c>
      <c r="R19" s="1">
        <f t="shared" si="0"/>
        <v>4189000</v>
      </c>
      <c r="S19" s="1">
        <f t="shared" si="3"/>
        <v>3010000</v>
      </c>
      <c r="T19" s="1">
        <f t="shared" si="4"/>
        <v>28306751</v>
      </c>
    </row>
    <row r="20" spans="2:20" ht="12.75">
      <c r="B20" s="8" t="s">
        <v>10</v>
      </c>
      <c r="C20" s="22">
        <v>51596253</v>
      </c>
      <c r="D20" s="22"/>
      <c r="E20" s="226">
        <v>17507000</v>
      </c>
      <c r="F20" s="227">
        <v>1560000</v>
      </c>
      <c r="G20" s="1">
        <f t="shared" si="1"/>
        <v>70663253</v>
      </c>
      <c r="J20" s="1">
        <f>'(B) Base Bud Adj'!L19</f>
        <v>5153270</v>
      </c>
      <c r="L20" s="1">
        <f>'(C) 11-12 Expenditure Adjust.'!R19</f>
        <v>-5410100</v>
      </c>
      <c r="N20" s="1">
        <f>'(D) Tuition Revenue'!AG19</f>
        <v>7038000</v>
      </c>
      <c r="Q20" s="1">
        <f t="shared" si="2"/>
        <v>51339423</v>
      </c>
      <c r="R20" s="1">
        <f t="shared" si="0"/>
        <v>24545000</v>
      </c>
      <c r="S20" s="1">
        <f t="shared" si="3"/>
        <v>1560000</v>
      </c>
      <c r="T20" s="1">
        <f t="shared" si="4"/>
        <v>77444423</v>
      </c>
    </row>
    <row r="21" spans="2:20" ht="12.75">
      <c r="B21" s="8" t="s">
        <v>11</v>
      </c>
      <c r="C21" s="22">
        <v>166726076</v>
      </c>
      <c r="D21" s="22"/>
      <c r="E21" s="226">
        <v>138150000</v>
      </c>
      <c r="F21" s="227">
        <v>32123000</v>
      </c>
      <c r="G21" s="1">
        <f t="shared" si="1"/>
        <v>336999076</v>
      </c>
      <c r="J21" s="1">
        <f>'(B) Base Bud Adj'!L20</f>
        <v>10849570</v>
      </c>
      <c r="L21" s="1">
        <f>'(C) 11-12 Expenditure Adjust.'!R20</f>
        <v>-46230300</v>
      </c>
      <c r="N21" s="1">
        <f>'(D) Tuition Revenue'!AG20</f>
        <v>40715000</v>
      </c>
      <c r="Q21" s="1">
        <f t="shared" si="2"/>
        <v>131345346</v>
      </c>
      <c r="R21" s="1">
        <f t="shared" si="0"/>
        <v>178865000</v>
      </c>
      <c r="S21" s="1">
        <f t="shared" si="3"/>
        <v>32123000</v>
      </c>
      <c r="T21" s="1">
        <f t="shared" si="4"/>
        <v>342333346</v>
      </c>
    </row>
    <row r="22" spans="2:20" ht="12.75">
      <c r="B22" s="8" t="s">
        <v>12</v>
      </c>
      <c r="C22" s="22">
        <v>124212192</v>
      </c>
      <c r="D22" s="22"/>
      <c r="E22" s="226">
        <v>79609000</v>
      </c>
      <c r="F22" s="227">
        <v>11953000</v>
      </c>
      <c r="G22" s="1">
        <f t="shared" si="1"/>
        <v>215774192</v>
      </c>
      <c r="J22" s="1">
        <f>'(B) Base Bud Adj'!L21</f>
        <v>4022770</v>
      </c>
      <c r="L22" s="1">
        <f>'(C) 11-12 Expenditure Adjust.'!R21</f>
        <v>-31590900</v>
      </c>
      <c r="N22" s="1">
        <f>'(D) Tuition Revenue'!AG21</f>
        <v>23962000</v>
      </c>
      <c r="Q22" s="1">
        <f t="shared" si="2"/>
        <v>96644062</v>
      </c>
      <c r="R22" s="1">
        <f t="shared" si="0"/>
        <v>103571000</v>
      </c>
      <c r="S22" s="1">
        <f t="shared" si="3"/>
        <v>11953000</v>
      </c>
      <c r="T22" s="1">
        <f t="shared" si="4"/>
        <v>212168062</v>
      </c>
    </row>
    <row r="23" spans="2:20" ht="12.75">
      <c r="B23" s="8" t="s">
        <v>13</v>
      </c>
      <c r="C23" s="22">
        <v>140795817</v>
      </c>
      <c r="D23" s="22"/>
      <c r="E23" s="226">
        <v>107084000</v>
      </c>
      <c r="F23" s="227">
        <v>15022000</v>
      </c>
      <c r="G23" s="1">
        <f t="shared" si="1"/>
        <v>262901817</v>
      </c>
      <c r="J23" s="1">
        <f>'(B) Base Bud Adj'!L22</f>
        <v>2568060</v>
      </c>
      <c r="L23" s="1">
        <f>'(C) 11-12 Expenditure Adjust.'!R22</f>
        <v>-35937200</v>
      </c>
      <c r="N23" s="1">
        <f>'(D) Tuition Revenue'!AG22</f>
        <v>27286000</v>
      </c>
      <c r="Q23" s="1">
        <f t="shared" si="2"/>
        <v>107426677</v>
      </c>
      <c r="R23" s="1">
        <f t="shared" si="0"/>
        <v>134370000</v>
      </c>
      <c r="S23" s="1">
        <f t="shared" si="3"/>
        <v>15022000</v>
      </c>
      <c r="T23" s="1">
        <f t="shared" si="4"/>
        <v>256818677</v>
      </c>
    </row>
    <row r="24" spans="2:20" ht="12.75">
      <c r="B24" s="8" t="s">
        <v>14</v>
      </c>
      <c r="C24" s="22">
        <v>94053498</v>
      </c>
      <c r="D24" s="22"/>
      <c r="E24" s="226">
        <v>69050000</v>
      </c>
      <c r="F24" s="227">
        <v>11695000</v>
      </c>
      <c r="G24" s="1">
        <f t="shared" si="1"/>
        <v>174798498</v>
      </c>
      <c r="J24" s="1">
        <f>'(B) Base Bud Adj'!L23</f>
        <v>2796780</v>
      </c>
      <c r="L24" s="1">
        <f>'(C) 11-12 Expenditure Adjust.'!R23</f>
        <v>-21073400</v>
      </c>
      <c r="N24" s="1">
        <f>'(D) Tuition Revenue'!AG23</f>
        <v>18149000</v>
      </c>
      <c r="Q24" s="1">
        <f t="shared" si="2"/>
        <v>75776878</v>
      </c>
      <c r="R24" s="1">
        <f t="shared" si="0"/>
        <v>87199000</v>
      </c>
      <c r="S24" s="1">
        <f t="shared" si="3"/>
        <v>11695000</v>
      </c>
      <c r="T24" s="1">
        <f t="shared" si="4"/>
        <v>174670878</v>
      </c>
    </row>
    <row r="25" spans="2:20" ht="12.75">
      <c r="B25" s="8" t="s">
        <v>15</v>
      </c>
      <c r="C25" s="22">
        <v>185949676</v>
      </c>
      <c r="D25" s="22"/>
      <c r="E25" s="226">
        <v>134423000</v>
      </c>
      <c r="F25" s="227">
        <v>31552000</v>
      </c>
      <c r="G25" s="1">
        <f t="shared" si="1"/>
        <v>351924676</v>
      </c>
      <c r="J25" s="1">
        <f>'(B) Base Bud Adj'!L24</f>
        <v>-2024730</v>
      </c>
      <c r="L25" s="1">
        <f>'(C) 11-12 Expenditure Adjust.'!R24</f>
        <v>-49983700</v>
      </c>
      <c r="N25" s="1">
        <f>'(D) Tuition Revenue'!AG24</f>
        <v>29638000</v>
      </c>
      <c r="Q25" s="1">
        <f t="shared" si="2"/>
        <v>133941246</v>
      </c>
      <c r="R25" s="1">
        <f t="shared" si="0"/>
        <v>164061000</v>
      </c>
      <c r="S25" s="1">
        <f t="shared" si="3"/>
        <v>31552000</v>
      </c>
      <c r="T25" s="1">
        <f t="shared" si="4"/>
        <v>329554246</v>
      </c>
    </row>
    <row r="26" spans="2:20" ht="12.75">
      <c r="B26" s="8" t="s">
        <v>16</v>
      </c>
      <c r="C26" s="22">
        <v>143863789</v>
      </c>
      <c r="D26" s="22"/>
      <c r="E26" s="226">
        <v>117100000</v>
      </c>
      <c r="F26" s="227">
        <v>30831000</v>
      </c>
      <c r="G26" s="1">
        <f t="shared" si="1"/>
        <v>291794789</v>
      </c>
      <c r="J26" s="1">
        <f>'(B) Base Bud Adj'!L25</f>
        <v>8600750</v>
      </c>
      <c r="L26" s="1">
        <f>'(C) 11-12 Expenditure Adjust.'!R25</f>
        <v>-40677100</v>
      </c>
      <c r="N26" s="1">
        <f>'(D) Tuition Revenue'!AG25</f>
        <v>32772000</v>
      </c>
      <c r="Q26" s="1">
        <f t="shared" si="2"/>
        <v>111787439</v>
      </c>
      <c r="R26" s="1">
        <f t="shared" si="0"/>
        <v>149872000</v>
      </c>
      <c r="S26" s="1">
        <f t="shared" si="3"/>
        <v>30831000</v>
      </c>
      <c r="T26" s="1">
        <f t="shared" si="4"/>
        <v>292490439</v>
      </c>
    </row>
    <row r="27" spans="2:20" ht="12.75">
      <c r="B27" s="8" t="s">
        <v>17</v>
      </c>
      <c r="C27" s="22">
        <v>140513822</v>
      </c>
      <c r="D27" s="22"/>
      <c r="E27" s="226">
        <v>116456000</v>
      </c>
      <c r="F27" s="227">
        <v>24756000</v>
      </c>
      <c r="G27" s="1">
        <f t="shared" si="1"/>
        <v>281725822</v>
      </c>
      <c r="J27" s="1">
        <f>'(B) Base Bud Adj'!L26</f>
        <v>2130500</v>
      </c>
      <c r="L27" s="1">
        <f>'(C) 11-12 Expenditure Adjust.'!R26</f>
        <v>-41531200</v>
      </c>
      <c r="N27" s="1">
        <f>'(D) Tuition Revenue'!AG26</f>
        <v>30532000</v>
      </c>
      <c r="Q27" s="1">
        <f t="shared" si="2"/>
        <v>101113122</v>
      </c>
      <c r="R27" s="1">
        <f t="shared" si="0"/>
        <v>146988000</v>
      </c>
      <c r="S27" s="1">
        <f t="shared" si="3"/>
        <v>24756000</v>
      </c>
      <c r="T27" s="1">
        <f t="shared" si="4"/>
        <v>272857122</v>
      </c>
    </row>
    <row r="28" spans="2:20" ht="12.75">
      <c r="B28" s="8" t="s">
        <v>18</v>
      </c>
      <c r="C28" s="22">
        <v>124855198</v>
      </c>
      <c r="D28" s="22"/>
      <c r="E28" s="226">
        <v>74889000</v>
      </c>
      <c r="F28" s="227">
        <v>28540000</v>
      </c>
      <c r="G28" s="1">
        <f t="shared" si="1"/>
        <v>228284198</v>
      </c>
      <c r="J28" s="1">
        <f>'(B) Base Bud Adj'!L27</f>
        <v>-1031760</v>
      </c>
      <c r="L28" s="1">
        <f>'(C) 11-12 Expenditure Adjust.'!R27</f>
        <v>-34280000</v>
      </c>
      <c r="N28" s="1">
        <f>'(D) Tuition Revenue'!AG27</f>
        <v>15260000</v>
      </c>
      <c r="Q28" s="1">
        <f t="shared" si="2"/>
        <v>89543438</v>
      </c>
      <c r="R28" s="1">
        <f t="shared" si="0"/>
        <v>90149000</v>
      </c>
      <c r="S28" s="1">
        <f t="shared" si="3"/>
        <v>28540000</v>
      </c>
      <c r="T28" s="1">
        <f t="shared" si="4"/>
        <v>208232438</v>
      </c>
    </row>
    <row r="29" spans="2:20" ht="12.75">
      <c r="B29" s="8" t="s">
        <v>19</v>
      </c>
      <c r="C29" s="22">
        <v>60198542</v>
      </c>
      <c r="D29" s="22"/>
      <c r="E29" s="226">
        <v>36053000</v>
      </c>
      <c r="F29" s="227">
        <v>5570000</v>
      </c>
      <c r="G29" s="1">
        <f t="shared" si="1"/>
        <v>101821542</v>
      </c>
      <c r="J29" s="1">
        <f>'(B) Base Bud Adj'!L28</f>
        <v>3586640</v>
      </c>
      <c r="L29" s="1">
        <f>'(C) 11-12 Expenditure Adjust.'!R28</f>
        <v>-11951700</v>
      </c>
      <c r="N29" s="1">
        <f>'(D) Tuition Revenue'!AG28</f>
        <v>13528000</v>
      </c>
      <c r="Q29" s="1">
        <f t="shared" si="2"/>
        <v>51833482</v>
      </c>
      <c r="R29" s="1">
        <f t="shared" si="0"/>
        <v>49581000</v>
      </c>
      <c r="S29" s="1">
        <f t="shared" si="3"/>
        <v>5570000</v>
      </c>
      <c r="T29" s="1">
        <f t="shared" si="4"/>
        <v>106984482</v>
      </c>
    </row>
    <row r="30" spans="2:20" ht="12.75">
      <c r="B30" s="8" t="s">
        <v>20</v>
      </c>
      <c r="C30" s="22">
        <v>56137723</v>
      </c>
      <c r="D30" s="22"/>
      <c r="E30" s="226">
        <v>33212000</v>
      </c>
      <c r="F30" s="227">
        <v>4094000</v>
      </c>
      <c r="G30" s="1">
        <f t="shared" si="1"/>
        <v>93443723</v>
      </c>
      <c r="J30" s="1">
        <f>'(B) Base Bud Adj'!L29</f>
        <v>2352300</v>
      </c>
      <c r="L30" s="1">
        <f>'(C) 11-12 Expenditure Adjust.'!R29</f>
        <v>-12178600</v>
      </c>
      <c r="N30" s="1">
        <f>'(D) Tuition Revenue'!AG29</f>
        <v>10465000</v>
      </c>
      <c r="Q30" s="1">
        <f t="shared" si="2"/>
        <v>46311423</v>
      </c>
      <c r="R30" s="1">
        <f t="shared" si="0"/>
        <v>43677000</v>
      </c>
      <c r="S30" s="1">
        <f>F30</f>
        <v>4094000</v>
      </c>
      <c r="T30" s="1">
        <f t="shared" si="4"/>
        <v>94082423</v>
      </c>
    </row>
    <row r="31" spans="2:20" ht="12.75">
      <c r="B31" s="8" t="s">
        <v>21</v>
      </c>
      <c r="C31" s="22">
        <v>56514337</v>
      </c>
      <c r="D31" s="22"/>
      <c r="E31" s="226">
        <v>33369000</v>
      </c>
      <c r="F31" s="227">
        <v>4234000</v>
      </c>
      <c r="G31" s="1">
        <f t="shared" si="1"/>
        <v>94117337</v>
      </c>
      <c r="J31" s="1">
        <f>'(B) Base Bud Adj'!L30</f>
        <v>-261040</v>
      </c>
      <c r="L31" s="1">
        <f>'(C) 11-12 Expenditure Adjust.'!R30</f>
        <v>-9701000</v>
      </c>
      <c r="N31" s="1">
        <f>'(D) Tuition Revenue'!AG30</f>
        <v>6370000</v>
      </c>
      <c r="Q31" s="1">
        <f t="shared" si="2"/>
        <v>46552297</v>
      </c>
      <c r="R31" s="1">
        <f t="shared" si="0"/>
        <v>39739000</v>
      </c>
      <c r="S31" s="1">
        <f t="shared" si="3"/>
        <v>4234000</v>
      </c>
      <c r="T31" s="1">
        <f t="shared" si="4"/>
        <v>90525297</v>
      </c>
    </row>
    <row r="32" ht="9" customHeight="1"/>
    <row r="33" spans="2:24" s="7" customFormat="1" ht="15" customHeight="1">
      <c r="B33" s="11" t="s">
        <v>22</v>
      </c>
      <c r="C33" s="11">
        <f>SUM(C9:C32)</f>
        <v>2359434342.16</v>
      </c>
      <c r="D33" s="11"/>
      <c r="E33" s="11">
        <f>SUM(E9:E32)</f>
        <v>1661490000</v>
      </c>
      <c r="F33" s="11">
        <f>SUM(F9:F31)</f>
        <v>320210000</v>
      </c>
      <c r="G33" s="11">
        <f>SUM(G9:G32)</f>
        <v>4341134342.16</v>
      </c>
      <c r="H33" s="9"/>
      <c r="I33" s="9"/>
      <c r="J33" s="11">
        <f>SUM(J9:J32)</f>
        <v>84789394</v>
      </c>
      <c r="K33" s="11"/>
      <c r="L33" s="11">
        <f>SUM(L9:L32)</f>
        <v>-571835000</v>
      </c>
      <c r="M33" s="11"/>
      <c r="N33" s="11">
        <f>SUM(N9:N32)</f>
        <v>451438000</v>
      </c>
      <c r="O33" s="11"/>
      <c r="P33" s="9"/>
      <c r="Q33" s="11">
        <f>SUM(Q9:Q32)</f>
        <v>1872388736.1599998</v>
      </c>
      <c r="R33" s="11">
        <f>SUM(R9:R32)</f>
        <v>2112928000</v>
      </c>
      <c r="S33" s="11">
        <f>SUM(S9:S32)</f>
        <v>320210000</v>
      </c>
      <c r="T33" s="11">
        <f>SUM(T9:T32)</f>
        <v>4305526736.16</v>
      </c>
      <c r="V33" s="1"/>
      <c r="W33" s="1"/>
      <c r="X33" s="1"/>
    </row>
    <row r="34" ht="9" customHeight="1"/>
    <row r="35" spans="2:20" ht="12.75" customHeight="1">
      <c r="B35" s="1" t="s">
        <v>23</v>
      </c>
      <c r="C35" s="1">
        <v>74466672</v>
      </c>
      <c r="E35" s="1">
        <v>0</v>
      </c>
      <c r="F35" s="1">
        <v>0</v>
      </c>
      <c r="G35" s="1">
        <f>SUM(C35:F35)</f>
        <v>74466672</v>
      </c>
      <c r="J35" s="1">
        <f>'(B) Base Bud Adj'!L34</f>
        <v>804130</v>
      </c>
      <c r="L35" s="1">
        <f>'(C) 11-12 Expenditure Adjust.'!R34</f>
        <v>-10837000</v>
      </c>
      <c r="N35" s="1">
        <f>'(D) Tuition Revenue'!AG34</f>
        <v>0</v>
      </c>
      <c r="Q35" s="1">
        <f>C35+J35+L35</f>
        <v>64433802</v>
      </c>
      <c r="R35" s="1">
        <f>E35+N35</f>
        <v>0</v>
      </c>
      <c r="S35" s="1">
        <f>F35</f>
        <v>0</v>
      </c>
      <c r="T35" s="1">
        <f>SUM(Q35:S35)</f>
        <v>64433802</v>
      </c>
    </row>
    <row r="36" spans="2:20" ht="12.75" customHeight="1">
      <c r="B36" s="10" t="s">
        <v>30</v>
      </c>
      <c r="C36" s="1">
        <v>1063735</v>
      </c>
      <c r="E36" s="1">
        <v>0</v>
      </c>
      <c r="F36" s="1">
        <v>0</v>
      </c>
      <c r="G36" s="1">
        <f>SUM(C36:F36)</f>
        <v>1063735</v>
      </c>
      <c r="J36" s="1">
        <f>'(B) Base Bud Adj'!L35</f>
        <v>-82000</v>
      </c>
      <c r="L36" s="1">
        <f>'(C) 11-12 Expenditure Adjust.'!R35</f>
        <v>0</v>
      </c>
      <c r="N36" s="1">
        <f>'(D) Tuition Revenue'!AG35</f>
        <v>733000</v>
      </c>
      <c r="Q36" s="1">
        <f>C36+J36+L36</f>
        <v>981735</v>
      </c>
      <c r="R36" s="1">
        <f>E36+N36</f>
        <v>733000</v>
      </c>
      <c r="S36" s="1">
        <f>F36</f>
        <v>0</v>
      </c>
      <c r="T36" s="1">
        <f>SUM(Q36:S36)</f>
        <v>1714735</v>
      </c>
    </row>
    <row r="37" spans="2:20" ht="12.75" customHeight="1">
      <c r="B37" s="1" t="s">
        <v>24</v>
      </c>
      <c r="C37" s="1">
        <v>2414496</v>
      </c>
      <c r="E37" s="228">
        <v>2574000</v>
      </c>
      <c r="F37" s="1">
        <v>0</v>
      </c>
      <c r="G37" s="1">
        <f>SUM(C37:F37)</f>
        <v>4988496</v>
      </c>
      <c r="J37" s="1">
        <f>'(B) Base Bud Adj'!L36</f>
        <v>-145000</v>
      </c>
      <c r="L37" s="1">
        <f>'(C) 11-12 Expenditure Adjust.'!R36</f>
        <v>0</v>
      </c>
      <c r="N37" s="1">
        <f>'(D) Tuition Revenue'!AG36</f>
        <v>198000</v>
      </c>
      <c r="Q37" s="1">
        <f>C37+J37+L37</f>
        <v>2269496</v>
      </c>
      <c r="R37" s="1">
        <f>E37+N37</f>
        <v>2772000</v>
      </c>
      <c r="S37" s="1">
        <f>F37</f>
        <v>0</v>
      </c>
      <c r="T37" s="1">
        <f>SUM(Q37:S37)</f>
        <v>5041496</v>
      </c>
    </row>
    <row r="38" spans="2:20" ht="12.75" customHeight="1">
      <c r="B38" s="1" t="s">
        <v>25</v>
      </c>
      <c r="C38" s="1">
        <v>57800</v>
      </c>
      <c r="E38" s="1">
        <v>0</v>
      </c>
      <c r="F38" s="1">
        <v>0</v>
      </c>
      <c r="G38" s="1">
        <f>SUM(C38:F38)</f>
        <v>57800</v>
      </c>
      <c r="J38" s="1">
        <f>'(B) Base Bud Adj'!L37</f>
        <v>0</v>
      </c>
      <c r="L38" s="1">
        <f>'(C) 11-12 Expenditure Adjust.'!R37</f>
        <v>0</v>
      </c>
      <c r="N38" s="1">
        <f>'(D) Tuition Revenue'!AG37</f>
        <v>57000</v>
      </c>
      <c r="Q38" s="1">
        <f>C38+J38+L38</f>
        <v>57800</v>
      </c>
      <c r="R38" s="1">
        <f>E38+N38</f>
        <v>57000</v>
      </c>
      <c r="S38" s="1">
        <f>F38</f>
        <v>0</v>
      </c>
      <c r="T38" s="1">
        <f>SUM(Q38:S38)</f>
        <v>114800</v>
      </c>
    </row>
    <row r="39" spans="2:20" ht="17.25" customHeight="1">
      <c r="B39" s="1" t="s">
        <v>26</v>
      </c>
      <c r="C39" s="1">
        <f>286550824-106552869+106552869</f>
        <v>286550824</v>
      </c>
      <c r="D39" s="231">
        <v>1</v>
      </c>
      <c r="E39" s="1">
        <v>0</v>
      </c>
      <c r="F39" s="314">
        <v>1000</v>
      </c>
      <c r="G39" s="1">
        <f>SUM(C39:F39)</f>
        <v>286551825</v>
      </c>
      <c r="J39" s="1">
        <f>'(B) Base Bud Adj'!L38</f>
        <v>-18081393</v>
      </c>
      <c r="L39" s="1">
        <f>'(C) 11-12 Expenditure Adjust.'!R38</f>
        <v>-67328000</v>
      </c>
      <c r="N39" s="1">
        <f>'(D) Tuition Revenue'!AG38</f>
        <v>0</v>
      </c>
      <c r="P39" s="58"/>
      <c r="Q39" s="1">
        <f>C39+J39+L39</f>
        <v>201141431</v>
      </c>
      <c r="R39" s="1">
        <f>E39+N39</f>
        <v>0</v>
      </c>
      <c r="S39" s="1">
        <f>F39</f>
        <v>1000</v>
      </c>
      <c r="T39" s="1">
        <f>SUM(Q39:S39)</f>
        <v>201142431</v>
      </c>
    </row>
    <row r="40" ht="9" customHeight="1"/>
    <row r="41" spans="2:20" s="7" customFormat="1" ht="15" customHeight="1" thickBot="1">
      <c r="B41" s="12" t="s">
        <v>27</v>
      </c>
      <c r="C41" s="12">
        <f>SUM(C33:C39)</f>
        <v>2723987869.16</v>
      </c>
      <c r="D41" s="12"/>
      <c r="E41" s="12">
        <f>SUM(E33:E39)</f>
        <v>1664064000</v>
      </c>
      <c r="F41" s="12">
        <f>SUM(F33:F39)</f>
        <v>320211000</v>
      </c>
      <c r="G41" s="12">
        <f>SUM(G33:G39)</f>
        <v>4708262870.16</v>
      </c>
      <c r="H41" s="9"/>
      <c r="I41" s="9"/>
      <c r="J41" s="19">
        <f>SUM(J33:J39)</f>
        <v>67285131</v>
      </c>
      <c r="K41" s="19"/>
      <c r="L41" s="19">
        <f>SUM(L33:L39)</f>
        <v>-650000000</v>
      </c>
      <c r="M41" s="19"/>
      <c r="N41" s="19">
        <f>SUM(N33:N39)</f>
        <v>452426000</v>
      </c>
      <c r="O41" s="19"/>
      <c r="P41" s="9"/>
      <c r="Q41" s="12">
        <f>SUM(Q33:Q39)</f>
        <v>2141273000.1599998</v>
      </c>
      <c r="R41" s="12">
        <f>SUM(R33:R39)</f>
        <v>2116490000</v>
      </c>
      <c r="S41" s="12">
        <f>SUM(S33:S39)</f>
        <v>320211000</v>
      </c>
      <c r="T41" s="12">
        <f>SUM(T33:T39)</f>
        <v>4577974000.16</v>
      </c>
    </row>
    <row r="43" spans="1:4" ht="18">
      <c r="A43" s="52">
        <v>1</v>
      </c>
      <c r="B43" s="26" t="s">
        <v>147</v>
      </c>
      <c r="C43" s="24"/>
      <c r="D43" s="24"/>
    </row>
    <row r="44" spans="1:2" ht="18">
      <c r="A44" s="52">
        <v>2</v>
      </c>
      <c r="B44" s="37" t="s">
        <v>137</v>
      </c>
    </row>
    <row r="45" spans="5:20" ht="12.75">
      <c r="E45" s="24"/>
      <c r="F45" s="24"/>
      <c r="G45" s="24"/>
      <c r="H45" s="53"/>
      <c r="I45" s="53"/>
      <c r="J45" s="54"/>
      <c r="K45" s="54"/>
      <c r="L45" s="54"/>
      <c r="M45" s="54"/>
      <c r="N45" s="54"/>
      <c r="O45" s="54"/>
      <c r="P45" s="53"/>
      <c r="Q45" s="24"/>
      <c r="R45" s="24"/>
      <c r="S45" s="24"/>
      <c r="T45" s="24"/>
    </row>
    <row r="46" spans="3:20" ht="18" customHeight="1"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</row>
    <row r="51" ht="12.75">
      <c r="Q51" s="61"/>
    </row>
  </sheetData>
  <sheetProtection/>
  <mergeCells count="4">
    <mergeCell ref="C4:G4"/>
    <mergeCell ref="Q4:T4"/>
    <mergeCell ref="I4:O4"/>
    <mergeCell ref="J5:L5"/>
  </mergeCells>
  <printOptions horizontalCentered="1"/>
  <pageMargins left="0.25" right="0.25" top="0.5" bottom="0.25" header="0.5" footer="0.5"/>
  <pageSetup fitToHeight="1" fitToWidth="1" horizontalDpi="600" verticalDpi="600" orientation="landscape" paperSize="5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3"/>
  <sheetViews>
    <sheetView zoomScalePageLayoutView="0" workbookViewId="0" topLeftCell="A1">
      <pane xSplit="1" ySplit="5" topLeftCell="B18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45" sqref="F45"/>
    </sheetView>
  </sheetViews>
  <sheetFormatPr defaultColWidth="9.33203125" defaultRowHeight="12.75"/>
  <cols>
    <col min="1" max="1" width="24.5" style="227" customWidth="1"/>
    <col min="2" max="2" width="16.33203125" style="227" customWidth="1"/>
    <col min="3" max="3" width="1.83203125" style="227" customWidth="1"/>
    <col min="4" max="4" width="13.16015625" style="236" customWidth="1"/>
    <col min="5" max="5" width="1.83203125" style="236" customWidth="1"/>
    <col min="6" max="6" width="12.83203125" style="236" customWidth="1"/>
    <col min="7" max="7" width="1.83203125" style="236" customWidth="1"/>
    <col min="8" max="8" width="15.33203125" style="236" customWidth="1"/>
    <col min="9" max="9" width="1.83203125" style="236" customWidth="1"/>
    <col min="10" max="10" width="16.83203125" style="236" customWidth="1"/>
    <col min="11" max="11" width="2.33203125" style="236" customWidth="1"/>
    <col min="12" max="12" width="13.83203125" style="236" customWidth="1"/>
    <col min="13" max="13" width="2.33203125" style="236" customWidth="1"/>
    <col min="14" max="14" width="16.16015625" style="236" customWidth="1"/>
    <col min="15" max="15" width="15" style="236" customWidth="1"/>
    <col min="16" max="16" width="5.83203125" style="236" customWidth="1"/>
    <col min="17" max="17" width="13.83203125" style="227" customWidth="1"/>
    <col min="18" max="20" width="12.83203125" style="227" customWidth="1"/>
    <col min="21" max="21" width="2.33203125" style="227" customWidth="1"/>
    <col min="22" max="22" width="13.83203125" style="227" customWidth="1"/>
    <col min="23" max="16384" width="9.33203125" style="227" customWidth="1"/>
  </cols>
  <sheetData>
    <row r="1" spans="1:17" ht="16.5">
      <c r="A1" s="50" t="s">
        <v>151</v>
      </c>
      <c r="B1" s="2"/>
      <c r="C1" s="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"/>
    </row>
    <row r="2" spans="1:17" ht="18.75">
      <c r="A2" s="80"/>
      <c r="B2" s="2"/>
      <c r="C2" s="2"/>
      <c r="D2" s="232"/>
      <c r="E2" s="232"/>
      <c r="F2" s="232"/>
      <c r="G2" s="232"/>
      <c r="H2" s="232"/>
      <c r="I2" s="232"/>
      <c r="J2" s="232"/>
      <c r="K2" s="232"/>
      <c r="L2" s="323"/>
      <c r="M2" s="232"/>
      <c r="N2" s="232"/>
      <c r="O2" s="232"/>
      <c r="P2" s="232"/>
      <c r="Q2" s="2" t="s">
        <v>134</v>
      </c>
    </row>
    <row r="3" spans="2:22" s="55" customFormat="1" ht="14.25">
      <c r="B3" s="56">
        <f>-1</f>
        <v>-1</v>
      </c>
      <c r="D3" s="56">
        <v>-2</v>
      </c>
      <c r="E3" s="56"/>
      <c r="F3" s="57">
        <f>-3</f>
        <v>-3</v>
      </c>
      <c r="G3" s="57"/>
      <c r="H3" s="57">
        <f>-4</f>
        <v>-4</v>
      </c>
      <c r="I3" s="57"/>
      <c r="J3" s="56">
        <f>-5</f>
        <v>-5</v>
      </c>
      <c r="K3" s="56"/>
      <c r="L3" s="57">
        <v>-6</v>
      </c>
      <c r="M3" s="56"/>
      <c r="N3" s="57">
        <v>-7</v>
      </c>
      <c r="Q3" s="293" t="s">
        <v>108</v>
      </c>
      <c r="R3" s="293" t="s">
        <v>109</v>
      </c>
      <c r="S3" s="293" t="s">
        <v>110</v>
      </c>
      <c r="T3" s="293" t="s">
        <v>111</v>
      </c>
      <c r="U3" s="292"/>
      <c r="V3" s="292"/>
    </row>
    <row r="4" spans="2:22" s="20" customFormat="1" ht="6" customHeight="1">
      <c r="B4" s="25"/>
      <c r="D4" s="25"/>
      <c r="E4" s="25"/>
      <c r="F4" s="21"/>
      <c r="G4" s="21"/>
      <c r="H4" s="21"/>
      <c r="I4" s="21"/>
      <c r="J4" s="21"/>
      <c r="K4" s="25"/>
      <c r="L4" s="25"/>
      <c r="M4" s="25"/>
      <c r="N4" s="25"/>
      <c r="Q4" s="300"/>
      <c r="R4" s="300"/>
      <c r="S4" s="300"/>
      <c r="T4" s="300"/>
      <c r="U4" s="300"/>
      <c r="V4" s="300"/>
    </row>
    <row r="5" spans="1:22" s="233" customFormat="1" ht="76.5">
      <c r="A5" s="137"/>
      <c r="B5" s="306" t="s">
        <v>76</v>
      </c>
      <c r="C5" s="137"/>
      <c r="D5" s="137" t="s">
        <v>96</v>
      </c>
      <c r="E5" s="137"/>
      <c r="F5" s="137" t="s">
        <v>102</v>
      </c>
      <c r="G5" s="137"/>
      <c r="H5" s="137" t="s">
        <v>95</v>
      </c>
      <c r="I5" s="137"/>
      <c r="J5" s="137" t="s">
        <v>98</v>
      </c>
      <c r="K5" s="27"/>
      <c r="L5" s="30" t="s">
        <v>144</v>
      </c>
      <c r="M5" s="27"/>
      <c r="N5" s="30" t="s">
        <v>123</v>
      </c>
      <c r="Q5" s="285" t="s">
        <v>32</v>
      </c>
      <c r="R5" s="278" t="s">
        <v>77</v>
      </c>
      <c r="S5" s="278" t="s">
        <v>31</v>
      </c>
      <c r="T5" s="278" t="s">
        <v>107</v>
      </c>
      <c r="U5" s="278"/>
      <c r="V5" s="245" t="s">
        <v>106</v>
      </c>
    </row>
    <row r="6" spans="1:22" s="249" customFormat="1" ht="26.25" customHeight="1">
      <c r="A6" s="246"/>
      <c r="B6" s="307"/>
      <c r="C6" s="246"/>
      <c r="D6" s="318"/>
      <c r="E6" s="246"/>
      <c r="F6" s="248"/>
      <c r="G6" s="248"/>
      <c r="H6" s="248"/>
      <c r="I6" s="248"/>
      <c r="J6" s="248" t="s">
        <v>97</v>
      </c>
      <c r="K6" s="248"/>
      <c r="L6" s="247" t="s">
        <v>114</v>
      </c>
      <c r="M6" s="248"/>
      <c r="N6" s="247" t="s">
        <v>124</v>
      </c>
      <c r="Q6" s="286"/>
      <c r="R6" s="254"/>
      <c r="S6" s="254"/>
      <c r="T6" s="254"/>
      <c r="U6" s="254"/>
      <c r="V6" s="247" t="s">
        <v>112</v>
      </c>
    </row>
    <row r="7" spans="1:22" ht="8.25" customHeight="1">
      <c r="A7" s="234"/>
      <c r="B7" s="308"/>
      <c r="C7" s="234"/>
      <c r="D7" s="235"/>
      <c r="E7" s="235"/>
      <c r="F7" s="31"/>
      <c r="G7" s="31"/>
      <c r="H7" s="31"/>
      <c r="I7" s="31"/>
      <c r="J7" s="31"/>
      <c r="K7" s="31"/>
      <c r="L7" s="28"/>
      <c r="M7" s="31"/>
      <c r="N7" s="28"/>
      <c r="Q7" s="287"/>
      <c r="R7" s="193"/>
      <c r="S7" s="193"/>
      <c r="T7" s="193"/>
      <c r="U7" s="193"/>
      <c r="V7" s="238"/>
    </row>
    <row r="8" spans="1:22" s="45" customFormat="1" ht="15">
      <c r="A8" s="45" t="s">
        <v>0</v>
      </c>
      <c r="B8" s="46">
        <f>'(A) Budget Summary'!C9</f>
        <v>55175299</v>
      </c>
      <c r="C8" s="41"/>
      <c r="D8" s="39">
        <v>882390</v>
      </c>
      <c r="E8" s="41"/>
      <c r="F8" s="39">
        <v>85000</v>
      </c>
      <c r="G8" s="39"/>
      <c r="H8" s="39"/>
      <c r="I8" s="39"/>
      <c r="J8" s="39">
        <f>ROUND(('(E) 2011-12 FTES '!D8*7305)/100,0)*100</f>
        <v>1395300</v>
      </c>
      <c r="K8" s="39"/>
      <c r="L8" s="46">
        <f>SUM(D8:J8)</f>
        <v>2362690</v>
      </c>
      <c r="M8" s="39"/>
      <c r="N8" s="46">
        <f>B8+L8</f>
        <v>57537989</v>
      </c>
      <c r="Q8" s="288">
        <v>752000</v>
      </c>
      <c r="R8" s="195">
        <v>66000</v>
      </c>
      <c r="S8" s="195">
        <v>111087.32506820773</v>
      </c>
      <c r="T8" s="195">
        <v>30000</v>
      </c>
      <c r="U8" s="195"/>
      <c r="V8" s="239">
        <f>SUM(Q8:U8)</f>
        <v>959087.3250682077</v>
      </c>
    </row>
    <row r="9" spans="1:22" s="26" customFormat="1" ht="15">
      <c r="A9" s="26" t="s">
        <v>1</v>
      </c>
      <c r="B9" s="47">
        <f>'(A) Budget Summary'!C10</f>
        <v>45969040</v>
      </c>
      <c r="C9" s="37"/>
      <c r="D9" s="426">
        <v>679780</v>
      </c>
      <c r="E9" s="37"/>
      <c r="F9" s="40"/>
      <c r="G9" s="40"/>
      <c r="H9" s="40"/>
      <c r="I9" s="40"/>
      <c r="J9" s="40">
        <f>ROUND(('(E) 2011-12 FTES '!D9*7305)/100,0)*100</f>
        <v>1409900</v>
      </c>
      <c r="K9" s="40"/>
      <c r="L9" s="47">
        <f>SUM(D9:J9)</f>
        <v>2089680</v>
      </c>
      <c r="M9" s="40"/>
      <c r="N9" s="47">
        <f>B9+L9</f>
        <v>48058720</v>
      </c>
      <c r="Q9" s="289">
        <v>553000</v>
      </c>
      <c r="R9" s="194">
        <v>62000</v>
      </c>
      <c r="S9" s="194">
        <v>84073.2018361641</v>
      </c>
      <c r="T9" s="194">
        <v>207000</v>
      </c>
      <c r="U9" s="194"/>
      <c r="V9" s="240">
        <f>SUM(Q9:U9)</f>
        <v>906073.2018361641</v>
      </c>
    </row>
    <row r="10" spans="1:22" s="26" customFormat="1" ht="15">
      <c r="A10" s="26" t="s">
        <v>2</v>
      </c>
      <c r="B10" s="47">
        <f>'(A) Budget Summary'!C11</f>
        <v>102076032</v>
      </c>
      <c r="C10" s="37"/>
      <c r="D10" s="426">
        <v>1781990</v>
      </c>
      <c r="E10" s="37"/>
      <c r="F10" s="40"/>
      <c r="G10" s="40"/>
      <c r="H10" s="40"/>
      <c r="I10" s="40"/>
      <c r="J10" s="40">
        <f>ROUND(('(E) 2011-12 FTES '!D10*7305)/100,0)*100</f>
        <v>1709400</v>
      </c>
      <c r="K10" s="40"/>
      <c r="L10" s="47">
        <f aca="true" t="shared" si="0" ref="L10:L30">SUM(D10:J10)</f>
        <v>3491390</v>
      </c>
      <c r="M10" s="40"/>
      <c r="N10" s="47">
        <f aca="true" t="shared" si="1" ref="N10:N30">B10+L10</f>
        <v>105567422</v>
      </c>
      <c r="Q10" s="289">
        <v>1660000</v>
      </c>
      <c r="R10" s="194">
        <v>142000</v>
      </c>
      <c r="S10" s="194">
        <v>235507.2985246771</v>
      </c>
      <c r="T10" s="194">
        <v>0</v>
      </c>
      <c r="U10" s="194"/>
      <c r="V10" s="240">
        <f aca="true" t="shared" si="2" ref="V10:V30">SUM(Q10:U10)</f>
        <v>2037507.298524677</v>
      </c>
    </row>
    <row r="11" spans="1:22" s="26" customFormat="1" ht="15">
      <c r="A11" s="26" t="s">
        <v>3</v>
      </c>
      <c r="B11" s="47">
        <f>'(A) Budget Summary'!C12</f>
        <v>66950742</v>
      </c>
      <c r="C11" s="37"/>
      <c r="D11" s="426">
        <v>1130240</v>
      </c>
      <c r="E11" s="37"/>
      <c r="F11" s="40"/>
      <c r="G11" s="40"/>
      <c r="H11" s="40"/>
      <c r="I11" s="40"/>
      <c r="J11" s="40">
        <f>ROUND(('(E) 2011-12 FTES '!D11*7305)/100,0)*100</f>
        <v>2688200</v>
      </c>
      <c r="K11" s="40"/>
      <c r="L11" s="47">
        <f t="shared" si="0"/>
        <v>3818440</v>
      </c>
      <c r="M11" s="40"/>
      <c r="N11" s="47">
        <f t="shared" si="1"/>
        <v>70769182</v>
      </c>
      <c r="Q11" s="289">
        <v>910000</v>
      </c>
      <c r="R11" s="194">
        <v>73000</v>
      </c>
      <c r="S11" s="194">
        <v>136217.21022602738</v>
      </c>
      <c r="T11" s="194">
        <v>0</v>
      </c>
      <c r="U11" s="194"/>
      <c r="V11" s="240">
        <f t="shared" si="2"/>
        <v>1119217.2102260273</v>
      </c>
    </row>
    <row r="12" spans="1:22" s="26" customFormat="1" ht="15">
      <c r="A12" s="26" t="s">
        <v>29</v>
      </c>
      <c r="B12" s="47">
        <f>'(A) Budget Summary'!C13</f>
        <v>77629521</v>
      </c>
      <c r="C12" s="37"/>
      <c r="D12" s="426">
        <v>1600220</v>
      </c>
      <c r="E12" s="37"/>
      <c r="F12" s="40"/>
      <c r="G12" s="40"/>
      <c r="H12" s="40"/>
      <c r="I12" s="40"/>
      <c r="J12" s="40">
        <f>ROUND(('(E) 2011-12 FTES '!D12*7305)/100,0)*100</f>
        <v>1008100</v>
      </c>
      <c r="K12" s="40"/>
      <c r="L12" s="47">
        <f t="shared" si="0"/>
        <v>2608320</v>
      </c>
      <c r="M12" s="40"/>
      <c r="N12" s="47">
        <f t="shared" si="1"/>
        <v>80237841</v>
      </c>
      <c r="Q12" s="289">
        <v>1346000</v>
      </c>
      <c r="R12" s="194">
        <v>118000</v>
      </c>
      <c r="S12" s="194">
        <v>189287.45077870338</v>
      </c>
      <c r="T12" s="194">
        <v>12000</v>
      </c>
      <c r="U12" s="194"/>
      <c r="V12" s="240">
        <f t="shared" si="2"/>
        <v>1665287.4507787034</v>
      </c>
    </row>
    <row r="13" spans="1:22" s="26" customFormat="1" ht="15">
      <c r="A13" s="26" t="s">
        <v>4</v>
      </c>
      <c r="B13" s="47">
        <f>'(A) Budget Summary'!C14</f>
        <v>133844322</v>
      </c>
      <c r="C13" s="37"/>
      <c r="D13" s="426">
        <v>2138500</v>
      </c>
      <c r="E13" s="37"/>
      <c r="F13" s="40"/>
      <c r="G13" s="40"/>
      <c r="H13" s="40"/>
      <c r="I13" s="40"/>
      <c r="J13" s="40">
        <f>ROUND(('(E) 2011-12 FTES '!D13*7305)/100,0)*100</f>
        <v>2279200</v>
      </c>
      <c r="K13" s="40"/>
      <c r="L13" s="47">
        <f t="shared" si="0"/>
        <v>4417700</v>
      </c>
      <c r="M13" s="40"/>
      <c r="N13" s="47">
        <f t="shared" si="1"/>
        <v>138262022</v>
      </c>
      <c r="Q13" s="289">
        <v>1853000</v>
      </c>
      <c r="R13" s="194">
        <v>167000</v>
      </c>
      <c r="S13" s="194">
        <v>273611.4187083334</v>
      </c>
      <c r="T13" s="194">
        <v>28000</v>
      </c>
      <c r="U13" s="194"/>
      <c r="V13" s="240">
        <f t="shared" si="2"/>
        <v>2321611.4187083333</v>
      </c>
    </row>
    <row r="14" spans="1:22" s="26" customFormat="1" ht="15">
      <c r="A14" s="26" t="s">
        <v>5</v>
      </c>
      <c r="B14" s="47">
        <f>'(A) Budget Summary'!C15</f>
        <v>151122657</v>
      </c>
      <c r="C14" s="37"/>
      <c r="D14" s="426">
        <v>3090004</v>
      </c>
      <c r="E14" s="37"/>
      <c r="F14" s="40"/>
      <c r="G14" s="40"/>
      <c r="H14" s="40"/>
      <c r="I14" s="40"/>
      <c r="J14" s="40">
        <f>ROUND(('(E) 2011-12 FTES '!D14*7305)/100,0)*100</f>
        <v>9328500</v>
      </c>
      <c r="K14" s="40"/>
      <c r="L14" s="47">
        <f t="shared" si="0"/>
        <v>12418504</v>
      </c>
      <c r="M14" s="40"/>
      <c r="N14" s="47">
        <f t="shared" si="1"/>
        <v>163541161</v>
      </c>
      <c r="Q14" s="289">
        <v>2445000</v>
      </c>
      <c r="R14" s="194">
        <v>233000</v>
      </c>
      <c r="S14" s="194">
        <v>364147.7023122474</v>
      </c>
      <c r="T14" s="194">
        <v>275000</v>
      </c>
      <c r="U14" s="194"/>
      <c r="V14" s="240">
        <f t="shared" si="2"/>
        <v>3317147.7023122474</v>
      </c>
    </row>
    <row r="15" spans="1:22" s="26" customFormat="1" ht="15">
      <c r="A15" s="26" t="s">
        <v>6</v>
      </c>
      <c r="B15" s="47">
        <f>'(A) Budget Summary'!C16</f>
        <v>69875740</v>
      </c>
      <c r="C15" s="37"/>
      <c r="D15" s="426">
        <v>1062010</v>
      </c>
      <c r="E15" s="37"/>
      <c r="F15" s="40"/>
      <c r="G15" s="40"/>
      <c r="H15" s="40"/>
      <c r="I15" s="40"/>
      <c r="J15" s="40">
        <f>ROUND(('(E) 2011-12 FTES '!D15*7305)/100,0)*100</f>
        <v>1358700</v>
      </c>
      <c r="K15" s="40"/>
      <c r="L15" s="47">
        <f t="shared" si="0"/>
        <v>2420710</v>
      </c>
      <c r="M15" s="40"/>
      <c r="N15" s="47">
        <f t="shared" si="1"/>
        <v>72296450</v>
      </c>
      <c r="Q15" s="289">
        <v>927000</v>
      </c>
      <c r="R15" s="194">
        <v>87000</v>
      </c>
      <c r="S15" s="194">
        <v>176567.4057416558</v>
      </c>
      <c r="T15" s="194">
        <v>0</v>
      </c>
      <c r="U15" s="194"/>
      <c r="V15" s="240">
        <f t="shared" si="2"/>
        <v>1190567.4057416557</v>
      </c>
    </row>
    <row r="16" spans="1:22" s="26" customFormat="1" ht="15">
      <c r="A16" s="26" t="s">
        <v>7</v>
      </c>
      <c r="B16" s="47">
        <f>'(A) Budget Summary'!C17</f>
        <v>174152206.16</v>
      </c>
      <c r="C16" s="37"/>
      <c r="D16" s="426">
        <v>3430530</v>
      </c>
      <c r="E16" s="37"/>
      <c r="F16" s="40"/>
      <c r="G16" s="40"/>
      <c r="H16" s="40"/>
      <c r="I16" s="40"/>
      <c r="J16" s="40">
        <f>ROUND(('(E) 2011-12 FTES '!D16*7305)/100,0)*100</f>
        <v>3075400</v>
      </c>
      <c r="K16" s="40"/>
      <c r="L16" s="47">
        <f t="shared" si="0"/>
        <v>6505930</v>
      </c>
      <c r="M16" s="40"/>
      <c r="N16" s="47">
        <f t="shared" si="1"/>
        <v>180658136.16</v>
      </c>
      <c r="Q16" s="289">
        <v>2676000</v>
      </c>
      <c r="R16" s="194">
        <v>227000</v>
      </c>
      <c r="S16" s="194">
        <v>395194.21554424573</v>
      </c>
      <c r="T16" s="194">
        <v>0</v>
      </c>
      <c r="U16" s="194"/>
      <c r="V16" s="240">
        <f t="shared" si="2"/>
        <v>3298194.2155442457</v>
      </c>
    </row>
    <row r="17" spans="1:22" s="26" customFormat="1" ht="15">
      <c r="A17" s="26" t="s">
        <v>8</v>
      </c>
      <c r="B17" s="47">
        <f>'(A) Budget Summary'!C18</f>
        <v>118213089</v>
      </c>
      <c r="C17" s="37"/>
      <c r="D17" s="426">
        <v>2018640</v>
      </c>
      <c r="E17" s="37"/>
      <c r="F17" s="40"/>
      <c r="G17" s="40"/>
      <c r="H17" s="40"/>
      <c r="I17" s="40"/>
      <c r="J17" s="40">
        <f>ROUND(('(E) 2011-12 FTES '!D17*7305)/100,0)*100</f>
        <v>1599800</v>
      </c>
      <c r="K17" s="40"/>
      <c r="L17" s="47">
        <f t="shared" si="0"/>
        <v>3618440</v>
      </c>
      <c r="M17" s="40"/>
      <c r="N17" s="47">
        <f t="shared" si="1"/>
        <v>121831529</v>
      </c>
      <c r="Q17" s="289">
        <v>1586000</v>
      </c>
      <c r="R17" s="194">
        <v>140000</v>
      </c>
      <c r="S17" s="194">
        <v>307139.84518216096</v>
      </c>
      <c r="T17" s="194">
        <v>94000</v>
      </c>
      <c r="U17" s="194"/>
      <c r="V17" s="240">
        <f t="shared" si="2"/>
        <v>2127139.845182161</v>
      </c>
    </row>
    <row r="18" spans="1:22" s="26" customFormat="1" ht="15">
      <c r="A18" s="26" t="s">
        <v>9</v>
      </c>
      <c r="B18" s="47">
        <f>'(A) Budget Summary'!C19</f>
        <v>19008771</v>
      </c>
      <c r="C18" s="37"/>
      <c r="D18" s="426">
        <v>246580</v>
      </c>
      <c r="E18" s="37"/>
      <c r="F18" s="40">
        <v>1500000</v>
      </c>
      <c r="G18" s="40"/>
      <c r="H18" s="40"/>
      <c r="I18" s="40"/>
      <c r="J18" s="40">
        <f>ROUND(('(E) 2011-12 FTES '!D18*7305)/100,0)*100</f>
        <v>547900</v>
      </c>
      <c r="K18" s="40"/>
      <c r="L18" s="47">
        <f t="shared" si="0"/>
        <v>2294480</v>
      </c>
      <c r="M18" s="40"/>
      <c r="N18" s="47">
        <f t="shared" si="1"/>
        <v>21303251</v>
      </c>
      <c r="Q18" s="289">
        <v>206000</v>
      </c>
      <c r="R18" s="194">
        <v>20000</v>
      </c>
      <c r="S18" s="194">
        <v>53515.894767934355</v>
      </c>
      <c r="T18" s="194">
        <v>2000</v>
      </c>
      <c r="U18" s="194"/>
      <c r="V18" s="240">
        <f t="shared" si="2"/>
        <v>281515.89476793434</v>
      </c>
    </row>
    <row r="19" spans="1:22" s="26" customFormat="1" ht="15">
      <c r="A19" s="26" t="s">
        <v>10</v>
      </c>
      <c r="B19" s="47">
        <f>'(A) Budget Summary'!C20</f>
        <v>51596253</v>
      </c>
      <c r="C19" s="37"/>
      <c r="D19" s="426">
        <v>770270</v>
      </c>
      <c r="E19" s="37"/>
      <c r="F19" s="40"/>
      <c r="G19" s="40"/>
      <c r="H19" s="40"/>
      <c r="I19" s="40"/>
      <c r="J19" s="40">
        <f>ROUND(('(E) 2011-12 FTES '!D19*7305)/100,0)*100</f>
        <v>4383000</v>
      </c>
      <c r="K19" s="40"/>
      <c r="L19" s="47">
        <f t="shared" si="0"/>
        <v>5153270</v>
      </c>
      <c r="M19" s="40"/>
      <c r="N19" s="47">
        <f t="shared" si="1"/>
        <v>56749523</v>
      </c>
      <c r="Q19" s="289">
        <v>534000</v>
      </c>
      <c r="R19" s="194">
        <v>54000</v>
      </c>
      <c r="S19" s="194">
        <v>97563.34940928966</v>
      </c>
      <c r="T19" s="194">
        <v>0</v>
      </c>
      <c r="U19" s="194"/>
      <c r="V19" s="240">
        <f t="shared" si="2"/>
        <v>685563.3494092897</v>
      </c>
    </row>
    <row r="20" spans="1:22" s="26" customFormat="1" ht="15">
      <c r="A20" s="26" t="s">
        <v>11</v>
      </c>
      <c r="B20" s="47">
        <f>'(A) Budget Summary'!C21</f>
        <v>166726076</v>
      </c>
      <c r="C20" s="37"/>
      <c r="D20" s="426">
        <v>3223170</v>
      </c>
      <c r="E20" s="37"/>
      <c r="F20" s="40"/>
      <c r="G20" s="40"/>
      <c r="H20" s="40"/>
      <c r="I20" s="40"/>
      <c r="J20" s="40">
        <f>ROUND(('(E) 2011-12 FTES '!D20*7305)/100,0)*100</f>
        <v>7626400</v>
      </c>
      <c r="K20" s="40"/>
      <c r="L20" s="47">
        <f t="shared" si="0"/>
        <v>10849570</v>
      </c>
      <c r="M20" s="40"/>
      <c r="N20" s="47">
        <f t="shared" si="1"/>
        <v>177575646</v>
      </c>
      <c r="Q20" s="289">
        <v>2554000</v>
      </c>
      <c r="R20" s="194">
        <v>226000</v>
      </c>
      <c r="S20" s="194">
        <v>372738.25567797635</v>
      </c>
      <c r="T20" s="194">
        <v>0</v>
      </c>
      <c r="U20" s="194"/>
      <c r="V20" s="240">
        <f t="shared" si="2"/>
        <v>3152738.255677976</v>
      </c>
    </row>
    <row r="21" spans="1:22" s="26" customFormat="1" ht="15">
      <c r="A21" s="26" t="s">
        <v>12</v>
      </c>
      <c r="B21" s="47">
        <f>'(A) Budget Summary'!C22</f>
        <v>124212192</v>
      </c>
      <c r="C21" s="37"/>
      <c r="D21" s="426">
        <v>2233070</v>
      </c>
      <c r="E21" s="37"/>
      <c r="F21" s="40"/>
      <c r="G21" s="40"/>
      <c r="H21" s="40"/>
      <c r="I21" s="40"/>
      <c r="J21" s="40">
        <f>ROUND(('(E) 2011-12 FTES '!D21*7305)/100,0)*100</f>
        <v>1789700</v>
      </c>
      <c r="K21" s="40"/>
      <c r="L21" s="47">
        <f t="shared" si="0"/>
        <v>4022770</v>
      </c>
      <c r="M21" s="40"/>
      <c r="N21" s="47">
        <f t="shared" si="1"/>
        <v>128234962</v>
      </c>
      <c r="Q21" s="289">
        <v>1819000</v>
      </c>
      <c r="R21" s="194">
        <v>161000</v>
      </c>
      <c r="S21" s="194">
        <v>295373.560426324</v>
      </c>
      <c r="T21" s="194">
        <v>887000</v>
      </c>
      <c r="U21" s="194"/>
      <c r="V21" s="240">
        <f t="shared" si="2"/>
        <v>3162373.560426324</v>
      </c>
    </row>
    <row r="22" spans="1:22" s="26" customFormat="1" ht="15">
      <c r="A22" s="26" t="s">
        <v>13</v>
      </c>
      <c r="B22" s="47">
        <f>'(A) Budget Summary'!C23</f>
        <v>140795817</v>
      </c>
      <c r="C22" s="37"/>
      <c r="D22" s="426">
        <v>2568060</v>
      </c>
      <c r="E22" s="37"/>
      <c r="F22" s="40"/>
      <c r="G22" s="40"/>
      <c r="H22" s="40"/>
      <c r="I22" s="40"/>
      <c r="J22" s="40">
        <f>ROUND(('(E) 2011-12 FTES '!D22*7305)/100,0)*100</f>
        <v>0</v>
      </c>
      <c r="K22" s="40"/>
      <c r="L22" s="47">
        <f t="shared" si="0"/>
        <v>2568060</v>
      </c>
      <c r="M22" s="40"/>
      <c r="N22" s="47">
        <f t="shared" si="1"/>
        <v>143363877</v>
      </c>
      <c r="Q22" s="289">
        <v>2283000</v>
      </c>
      <c r="R22" s="194">
        <v>198000</v>
      </c>
      <c r="S22" s="194">
        <v>291091.4999794068</v>
      </c>
      <c r="T22" s="194">
        <v>1327000</v>
      </c>
      <c r="U22" s="194"/>
      <c r="V22" s="240">
        <f t="shared" si="2"/>
        <v>4099091.4999794066</v>
      </c>
    </row>
    <row r="23" spans="1:22" s="26" customFormat="1" ht="15">
      <c r="A23" s="26" t="s">
        <v>14</v>
      </c>
      <c r="B23" s="47">
        <f>'(A) Budget Summary'!C24</f>
        <v>94053498</v>
      </c>
      <c r="C23" s="37"/>
      <c r="D23" s="426">
        <v>1540280</v>
      </c>
      <c r="E23" s="37"/>
      <c r="F23" s="40"/>
      <c r="G23" s="40"/>
      <c r="H23" s="40"/>
      <c r="I23" s="40"/>
      <c r="J23" s="40">
        <f>ROUND(('(E) 2011-12 FTES '!D23*7305)/100,0)*100</f>
        <v>1256500</v>
      </c>
      <c r="K23" s="40"/>
      <c r="L23" s="47">
        <f t="shared" si="0"/>
        <v>2796780</v>
      </c>
      <c r="M23" s="40"/>
      <c r="N23" s="47">
        <f t="shared" si="1"/>
        <v>96850278</v>
      </c>
      <c r="Q23" s="289">
        <v>1441000</v>
      </c>
      <c r="R23" s="194">
        <v>114000</v>
      </c>
      <c r="S23" s="194">
        <v>226252.92033370005</v>
      </c>
      <c r="T23" s="194">
        <v>0</v>
      </c>
      <c r="U23" s="194"/>
      <c r="V23" s="240">
        <f t="shared" si="2"/>
        <v>1781252.9203337</v>
      </c>
    </row>
    <row r="24" spans="1:22" s="26" customFormat="1" ht="15">
      <c r="A24" s="26" t="s">
        <v>15</v>
      </c>
      <c r="B24" s="47">
        <f>'(A) Budget Summary'!C25</f>
        <v>185949676</v>
      </c>
      <c r="C24" s="37"/>
      <c r="D24" s="426">
        <v>3285970</v>
      </c>
      <c r="E24" s="37"/>
      <c r="F24" s="40"/>
      <c r="G24" s="40"/>
      <c r="H24" s="40"/>
      <c r="I24" s="40"/>
      <c r="J24" s="40">
        <f>ROUND(('(E) 2011-12 FTES '!D24*7305)/100,0)*100</f>
        <v>-5310700</v>
      </c>
      <c r="K24" s="40"/>
      <c r="L24" s="47">
        <f t="shared" si="0"/>
        <v>-2024730</v>
      </c>
      <c r="M24" s="40"/>
      <c r="N24" s="47">
        <f t="shared" si="1"/>
        <v>183924946</v>
      </c>
      <c r="Q24" s="289">
        <v>3005000</v>
      </c>
      <c r="R24" s="194">
        <v>254000</v>
      </c>
      <c r="S24" s="194">
        <v>449286.96819622075</v>
      </c>
      <c r="T24" s="194">
        <v>354000</v>
      </c>
      <c r="U24" s="194"/>
      <c r="V24" s="240">
        <f t="shared" si="2"/>
        <v>4062286.9681962207</v>
      </c>
    </row>
    <row r="25" spans="1:22" s="26" customFormat="1" ht="15">
      <c r="A25" s="26" t="s">
        <v>16</v>
      </c>
      <c r="B25" s="47">
        <f>'(A) Budget Summary'!C26</f>
        <v>143863789</v>
      </c>
      <c r="C25" s="37"/>
      <c r="D25" s="426">
        <v>3078150</v>
      </c>
      <c r="E25" s="37"/>
      <c r="F25" s="40"/>
      <c r="G25" s="40"/>
      <c r="H25" s="40"/>
      <c r="I25" s="40"/>
      <c r="J25" s="40">
        <f>ROUND(('(E) 2011-12 FTES '!D25*7305)/100,0)*100</f>
        <v>5522600</v>
      </c>
      <c r="K25" s="40"/>
      <c r="L25" s="47">
        <f t="shared" si="0"/>
        <v>8600750</v>
      </c>
      <c r="M25" s="40"/>
      <c r="N25" s="47">
        <f t="shared" si="1"/>
        <v>152464539</v>
      </c>
      <c r="Q25" s="289">
        <v>2358000</v>
      </c>
      <c r="R25" s="194">
        <v>202000</v>
      </c>
      <c r="S25" s="194">
        <v>320432.2285614226</v>
      </c>
      <c r="T25" s="194">
        <v>400000</v>
      </c>
      <c r="U25" s="194"/>
      <c r="V25" s="240">
        <f t="shared" si="2"/>
        <v>3280432.228561423</v>
      </c>
    </row>
    <row r="26" spans="1:22" s="26" customFormat="1" ht="15">
      <c r="A26" s="26" t="s">
        <v>17</v>
      </c>
      <c r="B26" s="47">
        <f>'(A) Budget Summary'!C27</f>
        <v>140513822</v>
      </c>
      <c r="C26" s="37"/>
      <c r="D26" s="426">
        <v>2861000</v>
      </c>
      <c r="E26" s="37"/>
      <c r="F26" s="40"/>
      <c r="G26" s="40"/>
      <c r="H26" s="40"/>
      <c r="I26" s="40"/>
      <c r="J26" s="40">
        <f>ROUND(('(E) 2011-12 FTES '!D26*7305)/100,0)*100</f>
        <v>-730500</v>
      </c>
      <c r="K26" s="40"/>
      <c r="L26" s="47">
        <f t="shared" si="0"/>
        <v>2130500</v>
      </c>
      <c r="M26" s="40"/>
      <c r="N26" s="47">
        <f t="shared" si="1"/>
        <v>142644322</v>
      </c>
      <c r="Q26" s="289">
        <v>2339000</v>
      </c>
      <c r="R26" s="194">
        <v>218000</v>
      </c>
      <c r="S26" s="194">
        <v>399255.2293091017</v>
      </c>
      <c r="T26" s="194">
        <v>0</v>
      </c>
      <c r="U26" s="194"/>
      <c r="V26" s="240">
        <f t="shared" si="2"/>
        <v>2956255.2293091016</v>
      </c>
    </row>
    <row r="27" spans="1:22" s="26" customFormat="1" ht="15">
      <c r="A27" s="26" t="s">
        <v>18</v>
      </c>
      <c r="B27" s="47">
        <f>'(A) Budget Summary'!C28</f>
        <v>124855198</v>
      </c>
      <c r="C27" s="37"/>
      <c r="D27" s="426">
        <v>2350440</v>
      </c>
      <c r="E27" s="37"/>
      <c r="F27" s="40"/>
      <c r="G27" s="40"/>
      <c r="H27" s="40"/>
      <c r="I27" s="40"/>
      <c r="J27" s="40">
        <f>ROUND(('(E) 2011-12 FTES '!D27*7305)/100,0)*100</f>
        <v>-3382200</v>
      </c>
      <c r="K27" s="40"/>
      <c r="L27" s="47">
        <f t="shared" si="0"/>
        <v>-1031760</v>
      </c>
      <c r="M27" s="40"/>
      <c r="N27" s="47">
        <f t="shared" si="1"/>
        <v>123823438</v>
      </c>
      <c r="Q27" s="289">
        <v>2017000</v>
      </c>
      <c r="R27" s="194">
        <v>195000</v>
      </c>
      <c r="S27" s="194">
        <v>327589.53934489004</v>
      </c>
      <c r="T27" s="194">
        <v>72000</v>
      </c>
      <c r="U27" s="194"/>
      <c r="V27" s="240">
        <f t="shared" si="2"/>
        <v>2611589.53934489</v>
      </c>
    </row>
    <row r="28" spans="1:22" s="26" customFormat="1" ht="15">
      <c r="A28" s="26" t="s">
        <v>19</v>
      </c>
      <c r="B28" s="47">
        <f>'(A) Budget Summary'!C29</f>
        <v>60198542</v>
      </c>
      <c r="C28" s="37"/>
      <c r="D28" s="426">
        <v>1066440</v>
      </c>
      <c r="E28" s="37"/>
      <c r="F28" s="40"/>
      <c r="G28" s="40"/>
      <c r="H28" s="40"/>
      <c r="I28" s="40"/>
      <c r="J28" s="40">
        <f>ROUND(('(E) 2011-12 FTES '!D28*7305)/100,0)*100</f>
        <v>2520200</v>
      </c>
      <c r="K28" s="40"/>
      <c r="L28" s="47">
        <f t="shared" si="0"/>
        <v>3586640</v>
      </c>
      <c r="M28" s="40"/>
      <c r="N28" s="47">
        <f t="shared" si="1"/>
        <v>63785182</v>
      </c>
      <c r="Q28" s="289">
        <v>854000</v>
      </c>
      <c r="R28" s="194">
        <v>79000</v>
      </c>
      <c r="S28" s="194">
        <v>128864.32654170287</v>
      </c>
      <c r="T28" s="194">
        <v>128000</v>
      </c>
      <c r="U28" s="194"/>
      <c r="V28" s="240">
        <f t="shared" si="2"/>
        <v>1189864.326541703</v>
      </c>
    </row>
    <row r="29" spans="1:22" s="26" customFormat="1" ht="15">
      <c r="A29" s="26" t="s">
        <v>20</v>
      </c>
      <c r="B29" s="47">
        <f>'(A) Budget Summary'!C30</f>
        <v>56137723</v>
      </c>
      <c r="C29" s="37"/>
      <c r="D29" s="426">
        <v>1008200</v>
      </c>
      <c r="E29" s="37"/>
      <c r="F29" s="40"/>
      <c r="G29" s="40"/>
      <c r="H29" s="40"/>
      <c r="I29" s="40"/>
      <c r="J29" s="40">
        <f>ROUND(('(E) 2011-12 FTES '!D29*7305)/100,0)*100</f>
        <v>1344100</v>
      </c>
      <c r="K29" s="40"/>
      <c r="L29" s="47">
        <f t="shared" si="0"/>
        <v>2352300</v>
      </c>
      <c r="M29" s="40"/>
      <c r="N29" s="47">
        <f t="shared" si="1"/>
        <v>58490023</v>
      </c>
      <c r="Q29" s="289">
        <v>965000</v>
      </c>
      <c r="R29" s="194">
        <v>86000</v>
      </c>
      <c r="S29" s="194">
        <v>130608.04795186565</v>
      </c>
      <c r="T29" s="194">
        <v>0</v>
      </c>
      <c r="U29" s="194"/>
      <c r="V29" s="240">
        <f t="shared" si="2"/>
        <v>1181608.0479518657</v>
      </c>
    </row>
    <row r="30" spans="1:22" s="26" customFormat="1" ht="15">
      <c r="A30" s="26" t="s">
        <v>21</v>
      </c>
      <c r="B30" s="47">
        <f>'(A) Budget Summary'!C31</f>
        <v>56514337</v>
      </c>
      <c r="C30" s="37"/>
      <c r="D30" s="426">
        <v>863960</v>
      </c>
      <c r="E30" s="37"/>
      <c r="F30" s="40"/>
      <c r="G30" s="40"/>
      <c r="H30" s="40"/>
      <c r="I30" s="40"/>
      <c r="J30" s="40">
        <f>ROUND(('(E) 2011-12 FTES '!D30*7305)/100,0)*100</f>
        <v>-1125000</v>
      </c>
      <c r="K30" s="40"/>
      <c r="L30" s="47">
        <f t="shared" si="0"/>
        <v>-261040</v>
      </c>
      <c r="M30" s="40"/>
      <c r="N30" s="47">
        <f t="shared" si="1"/>
        <v>56253297</v>
      </c>
      <c r="Q30" s="289">
        <v>840000</v>
      </c>
      <c r="R30" s="194">
        <v>76000</v>
      </c>
      <c r="S30" s="194">
        <v>134595.1055777421</v>
      </c>
      <c r="T30" s="194">
        <v>0</v>
      </c>
      <c r="U30" s="194"/>
      <c r="V30" s="240">
        <f t="shared" si="2"/>
        <v>1050595.1055777422</v>
      </c>
    </row>
    <row r="31" spans="2:22" s="26" customFormat="1" ht="9" customHeight="1">
      <c r="B31" s="47"/>
      <c r="C31" s="37"/>
      <c r="D31" s="37"/>
      <c r="E31" s="37"/>
      <c r="F31" s="40"/>
      <c r="G31" s="40"/>
      <c r="H31" s="40"/>
      <c r="I31" s="40"/>
      <c r="J31" s="40"/>
      <c r="K31" s="40"/>
      <c r="L31" s="47"/>
      <c r="M31" s="40"/>
      <c r="N31" s="47"/>
      <c r="Q31" s="289"/>
      <c r="R31" s="194"/>
      <c r="S31" s="194"/>
      <c r="T31" s="194"/>
      <c r="U31" s="194"/>
      <c r="V31" s="240"/>
    </row>
    <row r="32" spans="1:22" s="45" customFormat="1" ht="15" customHeight="1">
      <c r="A32" s="33" t="s">
        <v>22</v>
      </c>
      <c r="B32" s="48">
        <f>SUM(B8:B30)</f>
        <v>2359434342.16</v>
      </c>
      <c r="C32" s="38"/>
      <c r="D32" s="38">
        <f>SUM(D8:D31)</f>
        <v>42909894</v>
      </c>
      <c r="E32" s="38"/>
      <c r="F32" s="38">
        <f>SUM(F8:F30)</f>
        <v>1585000</v>
      </c>
      <c r="G32" s="38"/>
      <c r="H32" s="38">
        <f>SUM(H8:H30)</f>
        <v>0</v>
      </c>
      <c r="I32" s="38"/>
      <c r="J32" s="38">
        <f>SUM(J8:J31)</f>
        <v>40294500</v>
      </c>
      <c r="K32" s="38"/>
      <c r="L32" s="48">
        <f>SUM(L8:L31)</f>
        <v>84789394</v>
      </c>
      <c r="M32" s="38"/>
      <c r="N32" s="48">
        <f>SUM(N8:N31)</f>
        <v>2444223736.16</v>
      </c>
      <c r="Q32" s="290">
        <f>SUM(Q8:Q31)</f>
        <v>35923000</v>
      </c>
      <c r="R32" s="185">
        <f>SUM(R8:R31)</f>
        <v>3198000</v>
      </c>
      <c r="S32" s="185">
        <f>SUM(S8:S31)</f>
        <v>5500000.000000001</v>
      </c>
      <c r="T32" s="185">
        <f>SUM(T8:T30)</f>
        <v>3816000</v>
      </c>
      <c r="U32" s="185"/>
      <c r="V32" s="241">
        <f>SUM(V8:V31)</f>
        <v>48437000</v>
      </c>
    </row>
    <row r="33" spans="2:22" s="26" customFormat="1" ht="9" customHeight="1">
      <c r="B33" s="47"/>
      <c r="C33" s="37"/>
      <c r="D33" s="37"/>
      <c r="E33" s="37"/>
      <c r="F33" s="40"/>
      <c r="G33" s="40"/>
      <c r="H33" s="40"/>
      <c r="I33" s="40"/>
      <c r="J33" s="40"/>
      <c r="K33" s="40"/>
      <c r="L33" s="47"/>
      <c r="M33" s="40"/>
      <c r="N33" s="47"/>
      <c r="Q33" s="289"/>
      <c r="R33" s="194"/>
      <c r="S33" s="194"/>
      <c r="T33" s="194"/>
      <c r="U33" s="194"/>
      <c r="V33" s="240"/>
    </row>
    <row r="34" spans="1:22" s="26" customFormat="1" ht="15">
      <c r="A34" s="26" t="s">
        <v>23</v>
      </c>
      <c r="B34" s="47">
        <f>'(A) Budget Summary'!C35</f>
        <v>74466672</v>
      </c>
      <c r="C34" s="37"/>
      <c r="D34" s="426">
        <v>804130</v>
      </c>
      <c r="E34" s="37"/>
      <c r="F34" s="40"/>
      <c r="G34" s="40"/>
      <c r="H34" s="40"/>
      <c r="I34" s="40"/>
      <c r="J34" s="40">
        <f>ROUND(('(E) 2011-12 FTES '!D34*7305)/100,0)*100</f>
        <v>0</v>
      </c>
      <c r="K34" s="40"/>
      <c r="L34" s="47">
        <f>SUM(D34:J34)</f>
        <v>804130</v>
      </c>
      <c r="M34" s="40"/>
      <c r="N34" s="47">
        <f>B34+L34</f>
        <v>75270802</v>
      </c>
      <c r="Q34" s="289">
        <f>484000</f>
        <v>484000</v>
      </c>
      <c r="R34" s="194">
        <v>44000</v>
      </c>
      <c r="S34" s="194">
        <v>0</v>
      </c>
      <c r="T34" s="194">
        <v>0</v>
      </c>
      <c r="U34" s="194"/>
      <c r="V34" s="240">
        <f>SUM(Q34:U34)</f>
        <v>528000</v>
      </c>
    </row>
    <row r="35" spans="1:22" s="26" customFormat="1" ht="15">
      <c r="A35" s="26" t="s">
        <v>30</v>
      </c>
      <c r="B35" s="47">
        <f>'(A) Budget Summary'!C36</f>
        <v>1063735</v>
      </c>
      <c r="C35" s="37"/>
      <c r="D35" s="227">
        <v>0</v>
      </c>
      <c r="E35" s="37"/>
      <c r="F35" s="40"/>
      <c r="G35" s="40"/>
      <c r="H35" s="40"/>
      <c r="I35" s="40"/>
      <c r="J35" s="40">
        <v>-82000</v>
      </c>
      <c r="K35" s="40"/>
      <c r="L35" s="47">
        <f>SUM(D35:J35)</f>
        <v>-82000</v>
      </c>
      <c r="M35" s="40"/>
      <c r="N35" s="47">
        <f>B35+L35</f>
        <v>981735</v>
      </c>
      <c r="Q35" s="289">
        <v>0</v>
      </c>
      <c r="R35" s="194">
        <v>0</v>
      </c>
      <c r="S35" s="194">
        <v>0</v>
      </c>
      <c r="T35" s="194">
        <v>0</v>
      </c>
      <c r="U35" s="194"/>
      <c r="V35" s="240">
        <f>SUM(Q35:U35)</f>
        <v>0</v>
      </c>
    </row>
    <row r="36" spans="1:22" s="26" customFormat="1" ht="15">
      <c r="A36" s="26" t="s">
        <v>24</v>
      </c>
      <c r="B36" s="47">
        <f>'(A) Budget Summary'!C37</f>
        <v>2414496</v>
      </c>
      <c r="C36" s="37"/>
      <c r="D36" s="227">
        <v>0</v>
      </c>
      <c r="E36" s="37"/>
      <c r="F36" s="40"/>
      <c r="G36" s="40"/>
      <c r="H36" s="40"/>
      <c r="I36" s="40"/>
      <c r="J36" s="40">
        <v>-145000</v>
      </c>
      <c r="K36" s="40"/>
      <c r="L36" s="47">
        <f>SUM(D36:J36)</f>
        <v>-145000</v>
      </c>
      <c r="M36" s="40"/>
      <c r="N36" s="47">
        <f>B36+L36</f>
        <v>2269496</v>
      </c>
      <c r="Q36" s="289">
        <v>0</v>
      </c>
      <c r="R36" s="194">
        <v>0</v>
      </c>
      <c r="S36" s="194">
        <v>0</v>
      </c>
      <c r="T36" s="194">
        <v>0</v>
      </c>
      <c r="U36" s="194"/>
      <c r="V36" s="240">
        <f>SUM(Q36:U36)</f>
        <v>0</v>
      </c>
    </row>
    <row r="37" spans="1:22" s="26" customFormat="1" ht="15">
      <c r="A37" s="26" t="s">
        <v>25</v>
      </c>
      <c r="B37" s="47">
        <f>'(A) Budget Summary'!C38</f>
        <v>57800</v>
      </c>
      <c r="C37" s="37"/>
      <c r="D37" s="227">
        <v>0</v>
      </c>
      <c r="E37" s="37"/>
      <c r="F37" s="40"/>
      <c r="G37" s="40"/>
      <c r="H37" s="40"/>
      <c r="I37" s="40"/>
      <c r="J37" s="40">
        <f>ROUND(('(E) 2011-12 FTES '!D37*7305)/100,0)*100</f>
        <v>0</v>
      </c>
      <c r="K37" s="40"/>
      <c r="L37" s="47">
        <f>SUM(D37:J37)</f>
        <v>0</v>
      </c>
      <c r="M37" s="40"/>
      <c r="N37" s="47">
        <f>B37+L37</f>
        <v>57800</v>
      </c>
      <c r="Q37" s="289">
        <v>0</v>
      </c>
      <c r="R37" s="194">
        <v>0</v>
      </c>
      <c r="S37" s="194">
        <v>0</v>
      </c>
      <c r="T37" s="194">
        <v>0</v>
      </c>
      <c r="U37" s="194"/>
      <c r="V37" s="240">
        <f>SUM(Q37:U37)</f>
        <v>0</v>
      </c>
    </row>
    <row r="38" spans="1:22" s="26" customFormat="1" ht="15">
      <c r="A38" s="26" t="s">
        <v>26</v>
      </c>
      <c r="B38" s="47">
        <f>'(A) Budget Summary'!C39</f>
        <v>286550824</v>
      </c>
      <c r="C38" s="37"/>
      <c r="D38" s="426">
        <f>1096201+(75235000-44810225)</f>
        <v>31520976</v>
      </c>
      <c r="E38" s="37"/>
      <c r="F38" s="40">
        <f>-9961000-85000-2309000+977000+3714000+182000-1500000</f>
        <v>-8982000</v>
      </c>
      <c r="G38" s="40"/>
      <c r="H38" s="40">
        <f>-106552869</f>
        <v>-106552869</v>
      </c>
      <c r="I38" s="40"/>
      <c r="J38" s="40">
        <f>66362900-430400</f>
        <v>65932500</v>
      </c>
      <c r="K38" s="40"/>
      <c r="L38" s="47">
        <f>SUM(D38:J38)</f>
        <v>-18081393</v>
      </c>
      <c r="M38" s="40"/>
      <c r="N38" s="47">
        <f>B38+L38</f>
        <v>268469431</v>
      </c>
      <c r="Q38" s="289">
        <v>0</v>
      </c>
      <c r="R38" s="194">
        <v>0</v>
      </c>
      <c r="S38" s="194">
        <v>0</v>
      </c>
      <c r="T38" s="194">
        <v>0</v>
      </c>
      <c r="U38" s="194"/>
      <c r="V38" s="240">
        <f>SUM(Q38:U38)</f>
        <v>0</v>
      </c>
    </row>
    <row r="39" spans="2:22" s="26" customFormat="1" ht="9" customHeight="1">
      <c r="B39" s="47"/>
      <c r="C39" s="37"/>
      <c r="D39" s="37"/>
      <c r="E39" s="37"/>
      <c r="F39" s="40"/>
      <c r="G39" s="40"/>
      <c r="H39" s="40"/>
      <c r="I39" s="40"/>
      <c r="J39" s="40"/>
      <c r="K39" s="40"/>
      <c r="L39" s="47"/>
      <c r="M39" s="40"/>
      <c r="N39" s="47"/>
      <c r="Q39" s="291"/>
      <c r="R39" s="279"/>
      <c r="S39" s="279"/>
      <c r="T39" s="279"/>
      <c r="U39" s="279"/>
      <c r="V39" s="282"/>
    </row>
    <row r="40" spans="1:22" s="45" customFormat="1" ht="15" customHeight="1" thickBot="1">
      <c r="A40" s="34" t="s">
        <v>27</v>
      </c>
      <c r="B40" s="49">
        <f>SUM(B32:B38)</f>
        <v>2723987869.16</v>
      </c>
      <c r="C40" s="42"/>
      <c r="D40" s="42">
        <f>SUM(D32:D38)</f>
        <v>75235000</v>
      </c>
      <c r="E40" s="42"/>
      <c r="F40" s="42">
        <f>SUM(F32:F38)</f>
        <v>-7397000</v>
      </c>
      <c r="G40" s="42"/>
      <c r="H40" s="42">
        <f>SUM(H32:H38)</f>
        <v>-106552869</v>
      </c>
      <c r="I40" s="42"/>
      <c r="J40" s="42">
        <f>J32+J34+J35+J36+J37+J38</f>
        <v>106000000</v>
      </c>
      <c r="K40" s="42"/>
      <c r="L40" s="49">
        <f>SUM(L32:L38)</f>
        <v>67285131</v>
      </c>
      <c r="M40" s="42"/>
      <c r="N40" s="49">
        <f>SUM(N32:N38)</f>
        <v>2791273000.16</v>
      </c>
      <c r="Q40" s="283">
        <f>SUM(Q32:Q38)</f>
        <v>36407000</v>
      </c>
      <c r="R40" s="186">
        <f>SUM(R32:R38)</f>
        <v>3242000</v>
      </c>
      <c r="S40" s="186">
        <f>SUM(S32:S38)</f>
        <v>5500000.000000001</v>
      </c>
      <c r="T40" s="186">
        <f>SUM(T32:T38)</f>
        <v>3816000</v>
      </c>
      <c r="U40" s="186"/>
      <c r="V40" s="242">
        <f>SUM(V32:V39)</f>
        <v>48965000</v>
      </c>
    </row>
    <row r="41" spans="11:22" ht="15.75">
      <c r="K41" s="237"/>
      <c r="L41" s="237"/>
      <c r="M41" s="237"/>
      <c r="N41" s="237"/>
      <c r="O41" s="237"/>
      <c r="P41" s="237"/>
      <c r="Q41" s="202"/>
      <c r="R41" s="202"/>
      <c r="S41" s="202"/>
      <c r="T41" s="202"/>
      <c r="U41" s="215"/>
      <c r="V41" s="200"/>
    </row>
    <row r="42" spans="1:22" s="294" customFormat="1" ht="15.75">
      <c r="A42" s="294" t="s">
        <v>186</v>
      </c>
      <c r="K42" s="295"/>
      <c r="L42" s="313"/>
      <c r="M42" s="295"/>
      <c r="N42" s="313"/>
      <c r="O42" s="313"/>
      <c r="P42" s="295"/>
      <c r="Q42" s="299" t="s">
        <v>185</v>
      </c>
      <c r="R42" s="296"/>
      <c r="S42" s="296"/>
      <c r="T42" s="296"/>
      <c r="U42" s="297"/>
      <c r="V42" s="298"/>
    </row>
    <row r="43" spans="1:17" s="294" customFormat="1" ht="48" customHeight="1">
      <c r="A43" s="457" t="s">
        <v>199</v>
      </c>
      <c r="B43" s="457"/>
      <c r="C43" s="457"/>
      <c r="D43" s="457"/>
      <c r="E43" s="457"/>
      <c r="F43" s="457"/>
      <c r="G43" s="457"/>
      <c r="H43" s="457"/>
      <c r="I43" s="457"/>
      <c r="J43" s="457"/>
      <c r="K43" s="457"/>
      <c r="L43" s="457"/>
      <c r="M43" s="457"/>
      <c r="N43" s="457"/>
      <c r="O43" s="457"/>
      <c r="P43" s="305"/>
      <c r="Q43" s="299" t="s">
        <v>128</v>
      </c>
    </row>
  </sheetData>
  <sheetProtection/>
  <mergeCells count="1">
    <mergeCell ref="A43:O43"/>
  </mergeCells>
  <printOptions/>
  <pageMargins left="0.25" right="0.25" top="0.25" bottom="0.25" header="0.5" footer="0.5"/>
  <pageSetup fitToHeight="1" fitToWidth="1" horizontalDpi="600" verticalDpi="600" orientation="landscape" paperSize="5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9"/>
  <sheetViews>
    <sheetView zoomScalePageLayoutView="0" workbookViewId="0" topLeftCell="A1">
      <pane xSplit="1" ySplit="7" topLeftCell="B1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13" sqref="G13"/>
    </sheetView>
  </sheetViews>
  <sheetFormatPr defaultColWidth="10.83203125" defaultRowHeight="12.75"/>
  <cols>
    <col min="1" max="1" width="19.83203125" style="200" customWidth="1"/>
    <col min="2" max="2" width="1.83203125" style="200" customWidth="1"/>
    <col min="3" max="3" width="16.5" style="200" bestFit="1" customWidth="1"/>
    <col min="4" max="4" width="1.83203125" style="200" customWidth="1"/>
    <col min="5" max="5" width="14.5" style="200" bestFit="1" customWidth="1"/>
    <col min="6" max="6" width="15.66015625" style="200" bestFit="1" customWidth="1"/>
    <col min="7" max="7" width="18.5" style="200" bestFit="1" customWidth="1"/>
    <col min="8" max="8" width="15.66015625" style="200" bestFit="1" customWidth="1"/>
    <col min="9" max="9" width="3.33203125" style="200" customWidth="1"/>
    <col min="10" max="10" width="18.5" style="433" bestFit="1" customWidth="1"/>
    <col min="11" max="11" width="2.83203125" style="200" customWidth="1"/>
    <col min="12" max="12" width="16.5" style="200" bestFit="1" customWidth="1"/>
    <col min="13" max="13" width="2.83203125" style="200" customWidth="1"/>
    <col min="14" max="14" width="18.5" style="433" bestFit="1" customWidth="1"/>
    <col min="15" max="15" width="1.83203125" style="433" customWidth="1"/>
    <col min="16" max="16" width="17.5" style="433" bestFit="1" customWidth="1"/>
    <col min="17" max="17" width="2.83203125" style="200" customWidth="1"/>
    <col min="18" max="18" width="15.83203125" style="200" customWidth="1"/>
    <col min="19" max="19" width="2.83203125" style="200" customWidth="1"/>
    <col min="20" max="20" width="16.5" style="200" bestFit="1" customWidth="1"/>
    <col min="21" max="22" width="14.66015625" style="200" customWidth="1"/>
    <col min="23" max="23" width="14.83203125" style="200" customWidth="1"/>
    <col min="24" max="24" width="14.66015625" style="200" customWidth="1"/>
    <col min="25" max="25" width="2" style="200" customWidth="1"/>
    <col min="26" max="26" width="17.5" style="200" customWidth="1"/>
    <col min="27" max="16384" width="10.83203125" style="200" customWidth="1"/>
  </cols>
  <sheetData>
    <row r="1" spans="1:13" ht="16.5">
      <c r="A1" s="180" t="s">
        <v>152</v>
      </c>
      <c r="B1" s="180"/>
      <c r="C1" s="180"/>
      <c r="D1" s="180"/>
      <c r="H1" s="181"/>
      <c r="I1" s="201"/>
      <c r="J1" s="445"/>
      <c r="K1" s="201"/>
      <c r="L1" s="201"/>
      <c r="M1" s="201"/>
    </row>
    <row r="2" spans="6:25" ht="15.75" customHeight="1">
      <c r="F2" s="191"/>
      <c r="G2" s="191"/>
      <c r="H2" s="201"/>
      <c r="I2" s="201"/>
      <c r="J2" s="445"/>
      <c r="K2" s="201"/>
      <c r="L2" s="201"/>
      <c r="M2" s="201"/>
      <c r="U2" s="214"/>
      <c r="V2" s="214"/>
      <c r="W2" s="214"/>
      <c r="X2" s="214"/>
      <c r="Y2" s="214"/>
    </row>
    <row r="3" spans="3:20" s="192" customFormat="1" ht="15.75" customHeight="1">
      <c r="C3" s="192">
        <v>-1</v>
      </c>
      <c r="E3" s="206">
        <v>-2</v>
      </c>
      <c r="F3" s="206">
        <v>-3</v>
      </c>
      <c r="G3" s="293" t="s">
        <v>153</v>
      </c>
      <c r="H3" s="206">
        <v>-5</v>
      </c>
      <c r="I3" s="206"/>
      <c r="J3" s="434">
        <v>-6</v>
      </c>
      <c r="K3" s="206"/>
      <c r="L3" s="206">
        <v>-7</v>
      </c>
      <c r="M3" s="206"/>
      <c r="N3" s="434">
        <v>-8</v>
      </c>
      <c r="O3" s="434"/>
      <c r="P3" s="435">
        <v>-9</v>
      </c>
      <c r="Q3" s="56"/>
      <c r="R3" s="206">
        <v>-10</v>
      </c>
      <c r="S3" s="56"/>
      <c r="T3" s="56">
        <v>-11</v>
      </c>
    </row>
    <row r="4" spans="1:19" ht="16.5" thickBot="1">
      <c r="A4" s="184"/>
      <c r="B4" s="184"/>
      <c r="C4" s="184"/>
      <c r="D4" s="184"/>
      <c r="E4" s="458" t="s">
        <v>187</v>
      </c>
      <c r="F4" s="458"/>
      <c r="G4" s="458"/>
      <c r="H4" s="458"/>
      <c r="I4" s="458"/>
      <c r="J4" s="458"/>
      <c r="K4" s="213"/>
      <c r="L4" s="213"/>
      <c r="M4" s="213"/>
      <c r="N4" s="459" t="s">
        <v>116</v>
      </c>
      <c r="O4" s="459"/>
      <c r="P4" s="459"/>
      <c r="Q4" s="312"/>
      <c r="R4" s="321"/>
      <c r="S4" s="25"/>
    </row>
    <row r="5" spans="3:20" s="243" customFormat="1" ht="57" customHeight="1">
      <c r="C5" s="302" t="s">
        <v>101</v>
      </c>
      <c r="E5" s="285" t="s">
        <v>99</v>
      </c>
      <c r="F5" s="278" t="s">
        <v>157</v>
      </c>
      <c r="G5" s="427" t="s">
        <v>196</v>
      </c>
      <c r="H5" s="278" t="s">
        <v>100</v>
      </c>
      <c r="I5" s="280"/>
      <c r="J5" s="446" t="s">
        <v>191</v>
      </c>
      <c r="K5" s="244"/>
      <c r="L5" s="245" t="s">
        <v>103</v>
      </c>
      <c r="M5" s="244"/>
      <c r="N5" s="436" t="s">
        <v>189</v>
      </c>
      <c r="O5" s="436"/>
      <c r="P5" s="436" t="s">
        <v>190</v>
      </c>
      <c r="Q5" s="137"/>
      <c r="R5" s="245" t="s">
        <v>125</v>
      </c>
      <c r="S5" s="137"/>
      <c r="T5" s="245" t="s">
        <v>113</v>
      </c>
    </row>
    <row r="6" spans="3:20" s="250" customFormat="1" ht="12.75">
      <c r="C6" s="17" t="s">
        <v>130</v>
      </c>
      <c r="E6" s="281"/>
      <c r="F6" s="251"/>
      <c r="G6" s="324"/>
      <c r="H6" s="322"/>
      <c r="I6" s="252"/>
      <c r="J6" s="247" t="s">
        <v>114</v>
      </c>
      <c r="K6" s="252"/>
      <c r="L6" s="253" t="s">
        <v>124</v>
      </c>
      <c r="M6" s="252"/>
      <c r="N6" s="18" t="s">
        <v>188</v>
      </c>
      <c r="O6" s="437"/>
      <c r="P6" s="18" t="s">
        <v>87</v>
      </c>
      <c r="Q6" s="18"/>
      <c r="R6" s="253" t="s">
        <v>154</v>
      </c>
      <c r="S6" s="18"/>
      <c r="T6" s="253" t="s">
        <v>155</v>
      </c>
    </row>
    <row r="7" spans="1:20" ht="9" customHeight="1">
      <c r="A7" s="184"/>
      <c r="B7" s="184"/>
      <c r="C7" s="184"/>
      <c r="D7" s="184"/>
      <c r="E7" s="311"/>
      <c r="F7" s="193"/>
      <c r="G7" s="193"/>
      <c r="H7" s="193"/>
      <c r="I7" s="193"/>
      <c r="J7" s="238"/>
      <c r="K7" s="193"/>
      <c r="L7" s="238"/>
      <c r="M7" s="193"/>
      <c r="N7" s="438"/>
      <c r="O7" s="438"/>
      <c r="P7" s="438"/>
      <c r="Q7" s="235"/>
      <c r="R7" s="238"/>
      <c r="S7" s="235"/>
      <c r="T7" s="238"/>
    </row>
    <row r="8" spans="1:20" s="277" customFormat="1" ht="15.75">
      <c r="A8" s="276" t="s">
        <v>0</v>
      </c>
      <c r="B8" s="276"/>
      <c r="C8" s="276">
        <f>'(B) Base Bud Adj'!N8</f>
        <v>57537989</v>
      </c>
      <c r="D8" s="276"/>
      <c r="E8" s="288">
        <v>-494000</v>
      </c>
      <c r="F8" s="195">
        <v>-2153000</v>
      </c>
      <c r="G8" s="428">
        <v>-2812000</v>
      </c>
      <c r="H8" s="195">
        <v>-4726000</v>
      </c>
      <c r="I8" s="195"/>
      <c r="J8" s="447">
        <f>SUM(E8:I8)</f>
        <v>-10185000</v>
      </c>
      <c r="K8" s="195"/>
      <c r="L8" s="239">
        <f aca="true" t="shared" si="0" ref="L8:L30">C8+J8</f>
        <v>47352989</v>
      </c>
      <c r="M8" s="284"/>
      <c r="N8" s="439">
        <f>'(D) Tuition Revenue'!AH8</f>
        <v>-3005000</v>
      </c>
      <c r="O8" s="439"/>
      <c r="P8" s="439">
        <f>'(F) SUG '!L8</f>
        <v>4393500</v>
      </c>
      <c r="Q8" s="59"/>
      <c r="R8" s="239">
        <f>J8+N8+P8</f>
        <v>-8796500</v>
      </c>
      <c r="S8" s="59"/>
      <c r="T8" s="239">
        <f>C8+R8</f>
        <v>48741489</v>
      </c>
    </row>
    <row r="9" spans="1:20" ht="15.75">
      <c r="A9" s="184" t="s">
        <v>1</v>
      </c>
      <c r="B9" s="184"/>
      <c r="C9" s="184">
        <f>'(B) Base Bud Adj'!N9</f>
        <v>48058720</v>
      </c>
      <c r="D9" s="184"/>
      <c r="E9" s="289">
        <v>-242000</v>
      </c>
      <c r="F9" s="194">
        <v>-1076000</v>
      </c>
      <c r="G9" s="429">
        <v>-1410000</v>
      </c>
      <c r="H9" s="194">
        <f>-4500000+2000000</f>
        <v>-2500000</v>
      </c>
      <c r="I9" s="194"/>
      <c r="J9" s="448">
        <f>SUM(E9:I9)</f>
        <v>-5228000</v>
      </c>
      <c r="K9" s="194"/>
      <c r="L9" s="240">
        <f t="shared" si="0"/>
        <v>42830720</v>
      </c>
      <c r="M9" s="284"/>
      <c r="N9" s="440">
        <f>'(D) Tuition Revenue'!AH9</f>
        <v>-1576000</v>
      </c>
      <c r="O9" s="440"/>
      <c r="P9" s="440">
        <f>'(F) SUG '!L9</f>
        <v>2863600</v>
      </c>
      <c r="Q9" s="60"/>
      <c r="R9" s="240">
        <f>J9+N9+P9</f>
        <v>-3940400</v>
      </c>
      <c r="S9" s="60"/>
      <c r="T9" s="240">
        <f>C9+R9</f>
        <v>44118320</v>
      </c>
    </row>
    <row r="10" spans="1:20" ht="15.75">
      <c r="A10" s="184" t="s">
        <v>2</v>
      </c>
      <c r="B10" s="184"/>
      <c r="C10" s="184">
        <f>'(B) Base Bud Adj'!N10</f>
        <v>105567422</v>
      </c>
      <c r="D10" s="184"/>
      <c r="E10" s="289">
        <v>-1051000</v>
      </c>
      <c r="F10" s="194">
        <v>-4515000</v>
      </c>
      <c r="G10" s="429">
        <v>-5908000</v>
      </c>
      <c r="H10" s="194">
        <v>-13078000</v>
      </c>
      <c r="I10" s="194"/>
      <c r="J10" s="448">
        <f aca="true" t="shared" si="1" ref="J10:J30">SUM(E10:I10)</f>
        <v>-24552000</v>
      </c>
      <c r="K10" s="194"/>
      <c r="L10" s="240">
        <f t="shared" si="0"/>
        <v>81015422</v>
      </c>
      <c r="M10" s="284"/>
      <c r="N10" s="440">
        <f>'(D) Tuition Revenue'!AH10</f>
        <v>-6016000</v>
      </c>
      <c r="O10" s="440"/>
      <c r="P10" s="440">
        <f>'(F) SUG '!L10</f>
        <v>6330800</v>
      </c>
      <c r="Q10" s="60"/>
      <c r="R10" s="240">
        <f aca="true" t="shared" si="2" ref="R10:R30">J10+N10+P10</f>
        <v>-24237200</v>
      </c>
      <c r="S10" s="60"/>
      <c r="T10" s="240">
        <f aca="true" t="shared" si="3" ref="T10:T30">C10+R10</f>
        <v>81330222</v>
      </c>
    </row>
    <row r="11" spans="1:20" ht="15.75">
      <c r="A11" s="184" t="s">
        <v>3</v>
      </c>
      <c r="B11" s="184"/>
      <c r="C11" s="184">
        <f>'(B) Base Bud Adj'!N11</f>
        <v>70769182</v>
      </c>
      <c r="D11" s="184"/>
      <c r="E11" s="289">
        <v>-800000</v>
      </c>
      <c r="F11" s="194">
        <v>-3526000</v>
      </c>
      <c r="G11" s="429">
        <v>-4612000</v>
      </c>
      <c r="H11" s="194">
        <v>-5182000</v>
      </c>
      <c r="I11" s="194"/>
      <c r="J11" s="448">
        <f t="shared" si="1"/>
        <v>-14120000</v>
      </c>
      <c r="K11" s="194"/>
      <c r="L11" s="240">
        <f t="shared" si="0"/>
        <v>56649182</v>
      </c>
      <c r="M11" s="284"/>
      <c r="N11" s="440">
        <f>'(D) Tuition Revenue'!AH11</f>
        <v>-4884000</v>
      </c>
      <c r="O11" s="440"/>
      <c r="P11" s="440">
        <f>'(F) SUG '!L11</f>
        <v>8001700</v>
      </c>
      <c r="Q11" s="60"/>
      <c r="R11" s="240">
        <f t="shared" si="2"/>
        <v>-11002300</v>
      </c>
      <c r="S11" s="60"/>
      <c r="T11" s="240">
        <f t="shared" si="3"/>
        <v>59766882</v>
      </c>
    </row>
    <row r="12" spans="1:20" ht="15.75">
      <c r="A12" s="184" t="s">
        <v>29</v>
      </c>
      <c r="B12" s="184"/>
      <c r="C12" s="184">
        <f>'(B) Base Bud Adj'!N12</f>
        <v>80237841</v>
      </c>
      <c r="D12" s="184"/>
      <c r="E12" s="289">
        <v>-866000</v>
      </c>
      <c r="F12" s="194">
        <v>-3712000</v>
      </c>
      <c r="G12" s="429">
        <v>-4847000</v>
      </c>
      <c r="H12" s="194">
        <v>-8455000</v>
      </c>
      <c r="I12" s="194"/>
      <c r="J12" s="448">
        <f t="shared" si="1"/>
        <v>-17880000</v>
      </c>
      <c r="K12" s="194"/>
      <c r="L12" s="240">
        <f t="shared" si="0"/>
        <v>62357841</v>
      </c>
      <c r="M12" s="284"/>
      <c r="N12" s="440">
        <f>'(D) Tuition Revenue'!AH12</f>
        <v>-5128000</v>
      </c>
      <c r="O12" s="440"/>
      <c r="P12" s="440">
        <f>'(F) SUG '!L12</f>
        <v>6792100</v>
      </c>
      <c r="Q12" s="60"/>
      <c r="R12" s="240">
        <f t="shared" si="2"/>
        <v>-16215900</v>
      </c>
      <c r="S12" s="60"/>
      <c r="T12" s="240">
        <f t="shared" si="3"/>
        <v>64021941</v>
      </c>
    </row>
    <row r="13" spans="1:20" ht="15.75">
      <c r="A13" s="184" t="s">
        <v>4</v>
      </c>
      <c r="B13" s="184"/>
      <c r="C13" s="184">
        <f>'(B) Base Bud Adj'!N13</f>
        <v>138262022</v>
      </c>
      <c r="D13" s="184"/>
      <c r="E13" s="289">
        <v>-1359000</v>
      </c>
      <c r="F13" s="194">
        <v>-5857000</v>
      </c>
      <c r="G13" s="429">
        <v>-7663000</v>
      </c>
      <c r="H13" s="194">
        <v>-17204000</v>
      </c>
      <c r="I13" s="194"/>
      <c r="J13" s="448">
        <f t="shared" si="1"/>
        <v>-32083000</v>
      </c>
      <c r="K13" s="194"/>
      <c r="L13" s="240">
        <f t="shared" si="0"/>
        <v>106179022</v>
      </c>
      <c r="M13" s="284"/>
      <c r="N13" s="440">
        <f>'(D) Tuition Revenue'!AH13</f>
        <v>-7812000</v>
      </c>
      <c r="O13" s="440"/>
      <c r="P13" s="440">
        <f>'(F) SUG '!L13</f>
        <v>7556800</v>
      </c>
      <c r="Q13" s="60"/>
      <c r="R13" s="240">
        <f t="shared" si="2"/>
        <v>-32338200</v>
      </c>
      <c r="S13" s="60"/>
      <c r="T13" s="240">
        <f t="shared" si="3"/>
        <v>105923822</v>
      </c>
    </row>
    <row r="14" spans="1:20" ht="15.75">
      <c r="A14" s="184" t="s">
        <v>5</v>
      </c>
      <c r="B14" s="184"/>
      <c r="C14" s="184">
        <f>'(B) Base Bud Adj'!N14</f>
        <v>163541161</v>
      </c>
      <c r="D14" s="184"/>
      <c r="E14" s="289">
        <v>-2223000</v>
      </c>
      <c r="F14" s="194">
        <v>-9880000</v>
      </c>
      <c r="G14" s="429">
        <v>-12917000</v>
      </c>
      <c r="H14" s="194">
        <v>-19281000</v>
      </c>
      <c r="I14" s="194"/>
      <c r="J14" s="448">
        <f t="shared" si="1"/>
        <v>-44301000</v>
      </c>
      <c r="K14" s="194"/>
      <c r="L14" s="240">
        <f t="shared" si="0"/>
        <v>119240161</v>
      </c>
      <c r="M14" s="284"/>
      <c r="N14" s="440">
        <f>'(D) Tuition Revenue'!AH14</f>
        <v>-13937000</v>
      </c>
      <c r="O14" s="440"/>
      <c r="P14" s="440">
        <f>'(F) SUG '!L14</f>
        <v>10782800</v>
      </c>
      <c r="Q14" s="60"/>
      <c r="R14" s="240">
        <f t="shared" si="2"/>
        <v>-47455200</v>
      </c>
      <c r="S14" s="60"/>
      <c r="T14" s="240">
        <f t="shared" si="3"/>
        <v>116085961</v>
      </c>
    </row>
    <row r="15" spans="1:20" ht="15.75">
      <c r="A15" s="184" t="s">
        <v>6</v>
      </c>
      <c r="B15" s="184"/>
      <c r="C15" s="184">
        <f>'(B) Base Bud Adj'!N15</f>
        <v>72296450</v>
      </c>
      <c r="D15" s="184"/>
      <c r="E15" s="289">
        <v>-500000</v>
      </c>
      <c r="F15" s="194">
        <v>-2172000</v>
      </c>
      <c r="G15" s="429">
        <v>-2846000</v>
      </c>
      <c r="H15" s="194">
        <v>-7563000</v>
      </c>
      <c r="I15" s="194"/>
      <c r="J15" s="448">
        <f t="shared" si="1"/>
        <v>-13081000</v>
      </c>
      <c r="K15" s="194"/>
      <c r="L15" s="240">
        <f t="shared" si="0"/>
        <v>59215450</v>
      </c>
      <c r="M15" s="284"/>
      <c r="N15" s="440">
        <f>'(D) Tuition Revenue'!AH15</f>
        <v>-2972000</v>
      </c>
      <c r="O15" s="440"/>
      <c r="P15" s="440">
        <f>'(F) SUG '!L15</f>
        <v>3164900</v>
      </c>
      <c r="Q15" s="60"/>
      <c r="R15" s="240">
        <f t="shared" si="2"/>
        <v>-12888100</v>
      </c>
      <c r="S15" s="60"/>
      <c r="T15" s="240">
        <f t="shared" si="3"/>
        <v>59408350</v>
      </c>
    </row>
    <row r="16" spans="1:20" ht="15.75">
      <c r="A16" s="184" t="s">
        <v>7</v>
      </c>
      <c r="B16" s="184"/>
      <c r="C16" s="184">
        <f>'(B) Base Bud Adj'!N16</f>
        <v>180658136.16</v>
      </c>
      <c r="D16" s="184"/>
      <c r="E16" s="289">
        <v>-2253000</v>
      </c>
      <c r="F16" s="194">
        <v>-9684000</v>
      </c>
      <c r="G16" s="429">
        <v>-12661000</v>
      </c>
      <c r="H16" s="194">
        <v>-22802000</v>
      </c>
      <c r="I16" s="194"/>
      <c r="J16" s="448">
        <f t="shared" si="1"/>
        <v>-47400000</v>
      </c>
      <c r="K16" s="194"/>
      <c r="L16" s="240">
        <f t="shared" si="0"/>
        <v>133258136.16</v>
      </c>
      <c r="M16" s="284"/>
      <c r="N16" s="440">
        <f>'(D) Tuition Revenue'!AH16</f>
        <v>-12817000</v>
      </c>
      <c r="O16" s="440"/>
      <c r="P16" s="440">
        <f>'(F) SUG '!L16</f>
        <v>10953900</v>
      </c>
      <c r="Q16" s="60"/>
      <c r="R16" s="240">
        <f t="shared" si="2"/>
        <v>-49263100</v>
      </c>
      <c r="S16" s="60"/>
      <c r="T16" s="240">
        <f t="shared" si="3"/>
        <v>131395036.16</v>
      </c>
    </row>
    <row r="17" spans="1:20" ht="15.75">
      <c r="A17" s="184" t="s">
        <v>8</v>
      </c>
      <c r="B17" s="184"/>
      <c r="C17" s="184">
        <f>'(B) Base Bud Adj'!N17</f>
        <v>121831529</v>
      </c>
      <c r="D17" s="184"/>
      <c r="E17" s="289">
        <v>-1273000</v>
      </c>
      <c r="F17" s="194">
        <v>-5456000</v>
      </c>
      <c r="G17" s="429">
        <v>-7123000</v>
      </c>
      <c r="H17" s="194">
        <v>-13004000</v>
      </c>
      <c r="I17" s="194"/>
      <c r="J17" s="448">
        <f t="shared" si="1"/>
        <v>-26856000</v>
      </c>
      <c r="K17" s="194"/>
      <c r="L17" s="240">
        <f t="shared" si="0"/>
        <v>94975529</v>
      </c>
      <c r="M17" s="284"/>
      <c r="N17" s="440">
        <f>'(D) Tuition Revenue'!AH17</f>
        <v>-7577000</v>
      </c>
      <c r="O17" s="440"/>
      <c r="P17" s="440">
        <f>'(F) SUG '!L17</f>
        <v>9475600</v>
      </c>
      <c r="Q17" s="60"/>
      <c r="R17" s="240">
        <f t="shared" si="2"/>
        <v>-24957400</v>
      </c>
      <c r="S17" s="60"/>
      <c r="T17" s="240">
        <f t="shared" si="3"/>
        <v>96874129</v>
      </c>
    </row>
    <row r="18" spans="1:20" ht="15.75">
      <c r="A18" s="184" t="s">
        <v>9</v>
      </c>
      <c r="B18" s="184"/>
      <c r="C18" s="184">
        <f>'(B) Base Bud Adj'!N18</f>
        <v>21303251</v>
      </c>
      <c r="D18" s="184"/>
      <c r="E18" s="289">
        <v>-50000</v>
      </c>
      <c r="F18" s="194">
        <v>-233000</v>
      </c>
      <c r="G18" s="429">
        <v>-309000</v>
      </c>
      <c r="H18" s="194">
        <v>0</v>
      </c>
      <c r="I18" s="194"/>
      <c r="J18" s="448">
        <f t="shared" si="1"/>
        <v>-592000</v>
      </c>
      <c r="K18" s="194"/>
      <c r="L18" s="240">
        <f t="shared" si="0"/>
        <v>20711251</v>
      </c>
      <c r="M18" s="284"/>
      <c r="N18" s="440">
        <f>'(D) Tuition Revenue'!AH18</f>
        <v>-379000</v>
      </c>
      <c r="O18" s="440"/>
      <c r="P18" s="440">
        <f>'(F) SUG '!L18</f>
        <v>775500</v>
      </c>
      <c r="Q18" s="60"/>
      <c r="R18" s="240">
        <f t="shared" si="2"/>
        <v>-195500</v>
      </c>
      <c r="S18" s="60"/>
      <c r="T18" s="240">
        <f t="shared" si="3"/>
        <v>21107751</v>
      </c>
    </row>
    <row r="19" spans="1:20" ht="15.75">
      <c r="A19" s="184" t="s">
        <v>10</v>
      </c>
      <c r="B19" s="184"/>
      <c r="C19" s="184">
        <f>'(B) Base Bud Adj'!N19</f>
        <v>56749523</v>
      </c>
      <c r="D19" s="184"/>
      <c r="E19" s="289">
        <v>-278000</v>
      </c>
      <c r="F19" s="194">
        <v>-1351000</v>
      </c>
      <c r="G19" s="429">
        <v>-1770000</v>
      </c>
      <c r="H19" s="194">
        <f>-5264000+1764000</f>
        <v>-3500000</v>
      </c>
      <c r="I19" s="194"/>
      <c r="J19" s="448">
        <f t="shared" si="1"/>
        <v>-6899000</v>
      </c>
      <c r="K19" s="194"/>
      <c r="L19" s="240">
        <f t="shared" si="0"/>
        <v>49850523</v>
      </c>
      <c r="M19" s="284"/>
      <c r="N19" s="440">
        <f>'(D) Tuition Revenue'!AH19</f>
        <v>-2347000</v>
      </c>
      <c r="O19" s="440"/>
      <c r="P19" s="440">
        <f>'(F) SUG '!L19</f>
        <v>3835900</v>
      </c>
      <c r="Q19" s="60"/>
      <c r="R19" s="240">
        <f t="shared" si="2"/>
        <v>-5410100</v>
      </c>
      <c r="S19" s="60"/>
      <c r="T19" s="240">
        <f t="shared" si="3"/>
        <v>51339423</v>
      </c>
    </row>
    <row r="20" spans="1:20" ht="15.75">
      <c r="A20" s="184" t="s">
        <v>11</v>
      </c>
      <c r="B20" s="184"/>
      <c r="C20" s="184">
        <f>'(B) Base Bud Adj'!N20</f>
        <v>177575646</v>
      </c>
      <c r="D20" s="184"/>
      <c r="E20" s="289">
        <v>-2169000</v>
      </c>
      <c r="F20" s="194">
        <v>-9562000</v>
      </c>
      <c r="G20" s="429">
        <v>-12508000</v>
      </c>
      <c r="H20" s="194">
        <v>-21145000</v>
      </c>
      <c r="I20" s="194"/>
      <c r="J20" s="448">
        <f t="shared" si="1"/>
        <v>-45384000</v>
      </c>
      <c r="K20" s="194"/>
      <c r="L20" s="240">
        <f t="shared" si="0"/>
        <v>132191646</v>
      </c>
      <c r="M20" s="284"/>
      <c r="N20" s="440">
        <f>'(D) Tuition Revenue'!AH20</f>
        <v>-13298000</v>
      </c>
      <c r="O20" s="440"/>
      <c r="P20" s="440">
        <f>'(F) SUG '!L20</f>
        <v>12451700</v>
      </c>
      <c r="Q20" s="60"/>
      <c r="R20" s="240">
        <f t="shared" si="2"/>
        <v>-46230300</v>
      </c>
      <c r="S20" s="60"/>
      <c r="T20" s="240">
        <f t="shared" si="3"/>
        <v>131345346</v>
      </c>
    </row>
    <row r="21" spans="1:20" ht="15.75">
      <c r="A21" s="184" t="s">
        <v>12</v>
      </c>
      <c r="B21" s="184"/>
      <c r="C21" s="184">
        <f>'(B) Base Bud Adj'!N21</f>
        <v>128234962</v>
      </c>
      <c r="D21" s="184"/>
      <c r="E21" s="289">
        <v>-1420000</v>
      </c>
      <c r="F21" s="194">
        <v>-6090000</v>
      </c>
      <c r="G21" s="429">
        <v>-7970000</v>
      </c>
      <c r="H21" s="194">
        <v>-16132000</v>
      </c>
      <c r="I21" s="194"/>
      <c r="J21" s="448">
        <f t="shared" si="1"/>
        <v>-31612000</v>
      </c>
      <c r="K21" s="194"/>
      <c r="L21" s="240">
        <f t="shared" si="0"/>
        <v>96622962</v>
      </c>
      <c r="M21" s="284"/>
      <c r="N21" s="440">
        <f>'(D) Tuition Revenue'!AH21</f>
        <v>-8045000</v>
      </c>
      <c r="O21" s="440"/>
      <c r="P21" s="440">
        <f>'(F) SUG '!L21</f>
        <v>8066100</v>
      </c>
      <c r="Q21" s="60"/>
      <c r="R21" s="240">
        <f>J21+N21+P21</f>
        <v>-31590900</v>
      </c>
      <c r="S21" s="60"/>
      <c r="T21" s="240">
        <f t="shared" si="3"/>
        <v>96644062</v>
      </c>
    </row>
    <row r="22" spans="1:20" ht="15.75">
      <c r="A22" s="184" t="s">
        <v>13</v>
      </c>
      <c r="B22" s="184"/>
      <c r="C22" s="184">
        <f>'(B) Base Bud Adj'!N22</f>
        <v>143363877</v>
      </c>
      <c r="D22" s="184"/>
      <c r="E22" s="289">
        <v>-1746000</v>
      </c>
      <c r="F22" s="194">
        <v>-7386000</v>
      </c>
      <c r="G22" s="429">
        <v>-9665000</v>
      </c>
      <c r="H22" s="194">
        <v>-17840000</v>
      </c>
      <c r="I22" s="194"/>
      <c r="J22" s="448">
        <f t="shared" si="1"/>
        <v>-36637000</v>
      </c>
      <c r="K22" s="194"/>
      <c r="L22" s="240">
        <f t="shared" si="0"/>
        <v>106726877</v>
      </c>
      <c r="M22" s="284"/>
      <c r="N22" s="440">
        <f>'(D) Tuition Revenue'!AH22</f>
        <v>-9454000</v>
      </c>
      <c r="O22" s="440"/>
      <c r="P22" s="440">
        <f>'(F) SUG '!L22</f>
        <v>10153800</v>
      </c>
      <c r="Q22" s="60"/>
      <c r="R22" s="240">
        <f t="shared" si="2"/>
        <v>-35937200</v>
      </c>
      <c r="S22" s="60"/>
      <c r="T22" s="240">
        <f t="shared" si="3"/>
        <v>107426677</v>
      </c>
    </row>
    <row r="23" spans="1:20" ht="15.75">
      <c r="A23" s="184" t="s">
        <v>14</v>
      </c>
      <c r="B23" s="184"/>
      <c r="C23" s="184">
        <f>'(B) Base Bud Adj'!N23</f>
        <v>96850278</v>
      </c>
      <c r="D23" s="184"/>
      <c r="E23" s="289">
        <v>-1147000</v>
      </c>
      <c r="F23" s="194">
        <v>-4899000</v>
      </c>
      <c r="G23" s="429">
        <v>-6409000</v>
      </c>
      <c r="H23" s="194">
        <v>-9374000</v>
      </c>
      <c r="I23" s="194"/>
      <c r="J23" s="448">
        <f>SUM(E23:I23)</f>
        <v>-21829000</v>
      </c>
      <c r="K23" s="194"/>
      <c r="L23" s="240">
        <f t="shared" si="0"/>
        <v>75021278</v>
      </c>
      <c r="M23" s="284"/>
      <c r="N23" s="440">
        <f>'(D) Tuition Revenue'!AH23</f>
        <v>-6446000</v>
      </c>
      <c r="O23" s="440"/>
      <c r="P23" s="440">
        <f>'(F) SUG '!L23</f>
        <v>7201600</v>
      </c>
      <c r="Q23" s="60"/>
      <c r="R23" s="240">
        <f t="shared" si="2"/>
        <v>-21073400</v>
      </c>
      <c r="S23" s="60"/>
      <c r="T23" s="240">
        <f t="shared" si="3"/>
        <v>75776878</v>
      </c>
    </row>
    <row r="24" spans="1:20" ht="15.75">
      <c r="A24" s="184" t="s">
        <v>15</v>
      </c>
      <c r="B24" s="184"/>
      <c r="C24" s="184">
        <f>'(B) Base Bud Adj'!N24</f>
        <v>183924946</v>
      </c>
      <c r="D24" s="184"/>
      <c r="E24" s="289">
        <v>-2045000</v>
      </c>
      <c r="F24" s="194">
        <v>-8406000</v>
      </c>
      <c r="G24" s="429">
        <v>-11015000</v>
      </c>
      <c r="H24" s="194">
        <v>-26695000</v>
      </c>
      <c r="I24" s="194"/>
      <c r="J24" s="448">
        <f t="shared" si="1"/>
        <v>-48161000</v>
      </c>
      <c r="K24" s="194"/>
      <c r="L24" s="240">
        <f t="shared" si="0"/>
        <v>135763946</v>
      </c>
      <c r="M24" s="284"/>
      <c r="N24" s="440">
        <f>'(D) Tuition Revenue'!AH24</f>
        <v>-10382000</v>
      </c>
      <c r="O24" s="440"/>
      <c r="P24" s="440">
        <f>'(F) SUG '!L24</f>
        <v>8559300</v>
      </c>
      <c r="Q24" s="60"/>
      <c r="R24" s="240">
        <f t="shared" si="2"/>
        <v>-49983700</v>
      </c>
      <c r="S24" s="60"/>
      <c r="T24" s="240">
        <f t="shared" si="3"/>
        <v>133941246</v>
      </c>
    </row>
    <row r="25" spans="1:20" ht="15.75">
      <c r="A25" s="184" t="s">
        <v>16</v>
      </c>
      <c r="B25" s="184"/>
      <c r="C25" s="184">
        <f>'(B) Base Bud Adj'!N25</f>
        <v>152464539</v>
      </c>
      <c r="D25" s="184"/>
      <c r="E25" s="289">
        <v>-1894000</v>
      </c>
      <c r="F25" s="194">
        <v>-8292000</v>
      </c>
      <c r="G25" s="429">
        <v>-10844000</v>
      </c>
      <c r="H25" s="194">
        <v>-17847000</v>
      </c>
      <c r="I25" s="194"/>
      <c r="J25" s="448">
        <f t="shared" si="1"/>
        <v>-38877000</v>
      </c>
      <c r="K25" s="194"/>
      <c r="L25" s="240">
        <f t="shared" si="0"/>
        <v>113587539</v>
      </c>
      <c r="M25" s="284"/>
      <c r="N25" s="440">
        <f>'(D) Tuition Revenue'!AH25</f>
        <v>-11377000</v>
      </c>
      <c r="O25" s="440"/>
      <c r="P25" s="440">
        <f>'(F) SUG '!L25</f>
        <v>9576900</v>
      </c>
      <c r="Q25" s="60"/>
      <c r="R25" s="240">
        <f t="shared" si="2"/>
        <v>-40677100</v>
      </c>
      <c r="S25" s="60"/>
      <c r="T25" s="240">
        <f t="shared" si="3"/>
        <v>111787439</v>
      </c>
    </row>
    <row r="26" spans="1:20" ht="15.75">
      <c r="A26" s="184" t="s">
        <v>17</v>
      </c>
      <c r="B26" s="184"/>
      <c r="C26" s="184">
        <f>'(B) Base Bud Adj'!N26</f>
        <v>142644322</v>
      </c>
      <c r="D26" s="184"/>
      <c r="E26" s="289">
        <v>-1935000</v>
      </c>
      <c r="F26" s="194">
        <v>-8161000</v>
      </c>
      <c r="G26" s="429">
        <v>-10665000</v>
      </c>
      <c r="H26" s="194">
        <v>-18672000</v>
      </c>
      <c r="I26" s="194"/>
      <c r="J26" s="448">
        <f t="shared" si="1"/>
        <v>-39433000</v>
      </c>
      <c r="K26" s="194"/>
      <c r="L26" s="240">
        <f t="shared" si="0"/>
        <v>103211322</v>
      </c>
      <c r="M26" s="284"/>
      <c r="N26" s="440">
        <f>'(D) Tuition Revenue'!AH26</f>
        <v>-10333000</v>
      </c>
      <c r="O26" s="440"/>
      <c r="P26" s="440">
        <f>'(F) SUG '!L26</f>
        <v>8234800</v>
      </c>
      <c r="Q26" s="60"/>
      <c r="R26" s="240">
        <f t="shared" si="2"/>
        <v>-41531200</v>
      </c>
      <c r="S26" s="60"/>
      <c r="T26" s="240">
        <f t="shared" si="3"/>
        <v>101113122</v>
      </c>
    </row>
    <row r="27" spans="1:20" ht="15.75">
      <c r="A27" s="184" t="s">
        <v>18</v>
      </c>
      <c r="B27" s="184"/>
      <c r="C27" s="184">
        <f>'(B) Base Bud Adj'!N27</f>
        <v>123823438</v>
      </c>
      <c r="D27" s="184"/>
      <c r="E27" s="289">
        <v>-1231000</v>
      </c>
      <c r="F27" s="194">
        <v>-5064000</v>
      </c>
      <c r="G27" s="429">
        <v>-6635000</v>
      </c>
      <c r="H27" s="194">
        <v>-18588000</v>
      </c>
      <c r="I27" s="194"/>
      <c r="J27" s="448">
        <f t="shared" si="1"/>
        <v>-31518000</v>
      </c>
      <c r="K27" s="194"/>
      <c r="L27" s="240">
        <f t="shared" si="0"/>
        <v>92305438</v>
      </c>
      <c r="M27" s="284"/>
      <c r="N27" s="440">
        <f>'(D) Tuition Revenue'!AH27</f>
        <v>-6013000</v>
      </c>
      <c r="O27" s="440"/>
      <c r="P27" s="440">
        <f>'(F) SUG '!L27</f>
        <v>3251000</v>
      </c>
      <c r="Q27" s="60"/>
      <c r="R27" s="240">
        <f t="shared" si="2"/>
        <v>-34280000</v>
      </c>
      <c r="S27" s="60"/>
      <c r="T27" s="240">
        <f t="shared" si="3"/>
        <v>89543438</v>
      </c>
    </row>
    <row r="28" spans="1:20" ht="15.75">
      <c r="A28" s="184" t="s">
        <v>19</v>
      </c>
      <c r="B28" s="184"/>
      <c r="C28" s="184">
        <f>'(B) Base Bud Adj'!N28</f>
        <v>63785182</v>
      </c>
      <c r="D28" s="184"/>
      <c r="E28" s="289">
        <v>-604000</v>
      </c>
      <c r="F28" s="194">
        <v>-2679000</v>
      </c>
      <c r="G28" s="429">
        <v>-3511000</v>
      </c>
      <c r="H28" s="194">
        <v>-6094000</v>
      </c>
      <c r="I28" s="194"/>
      <c r="J28" s="448">
        <f t="shared" si="1"/>
        <v>-12888000</v>
      </c>
      <c r="K28" s="194"/>
      <c r="L28" s="240">
        <f t="shared" si="0"/>
        <v>50897182</v>
      </c>
      <c r="M28" s="284"/>
      <c r="N28" s="440">
        <f>'(D) Tuition Revenue'!AH28</f>
        <v>-3784000</v>
      </c>
      <c r="O28" s="440"/>
      <c r="P28" s="440">
        <f>'(F) SUG '!L28</f>
        <v>4720300</v>
      </c>
      <c r="Q28" s="60"/>
      <c r="R28" s="240">
        <f t="shared" si="2"/>
        <v>-11951700</v>
      </c>
      <c r="S28" s="60"/>
      <c r="T28" s="240">
        <f t="shared" si="3"/>
        <v>51833482</v>
      </c>
    </row>
    <row r="29" spans="1:20" ht="15.75">
      <c r="A29" s="184" t="s">
        <v>20</v>
      </c>
      <c r="B29" s="184"/>
      <c r="C29" s="184">
        <f>'(B) Base Bud Adj'!N29</f>
        <v>58490023</v>
      </c>
      <c r="D29" s="184"/>
      <c r="E29" s="289">
        <v>-556000</v>
      </c>
      <c r="F29" s="194">
        <v>-2409000</v>
      </c>
      <c r="G29" s="429">
        <v>-3152000</v>
      </c>
      <c r="H29" s="194">
        <v>-5887000</v>
      </c>
      <c r="I29" s="194"/>
      <c r="J29" s="448">
        <f t="shared" si="1"/>
        <v>-12004000</v>
      </c>
      <c r="K29" s="194"/>
      <c r="L29" s="240">
        <f t="shared" si="0"/>
        <v>46486023</v>
      </c>
      <c r="M29" s="284"/>
      <c r="N29" s="440">
        <f>'(D) Tuition Revenue'!AH29</f>
        <v>-3270000</v>
      </c>
      <c r="O29" s="440"/>
      <c r="P29" s="440">
        <f>'(F) SUG '!L29</f>
        <v>3095400</v>
      </c>
      <c r="Q29" s="60"/>
      <c r="R29" s="240">
        <f t="shared" si="2"/>
        <v>-12178600</v>
      </c>
      <c r="S29" s="60"/>
      <c r="T29" s="240">
        <f t="shared" si="3"/>
        <v>46311423</v>
      </c>
    </row>
    <row r="30" spans="1:20" ht="15.75">
      <c r="A30" s="184" t="s">
        <v>21</v>
      </c>
      <c r="B30" s="184"/>
      <c r="C30" s="184">
        <f>'(B) Base Bud Adj'!N30</f>
        <v>56253297</v>
      </c>
      <c r="D30" s="184"/>
      <c r="E30" s="289">
        <v>-504000</v>
      </c>
      <c r="F30" s="194">
        <v>-2102000</v>
      </c>
      <c r="G30" s="429">
        <v>-2748000</v>
      </c>
      <c r="H30" s="194">
        <v>-4961000</v>
      </c>
      <c r="I30" s="194"/>
      <c r="J30" s="448">
        <f t="shared" si="1"/>
        <v>-10315000</v>
      </c>
      <c r="K30" s="194"/>
      <c r="L30" s="240">
        <f t="shared" si="0"/>
        <v>45938297</v>
      </c>
      <c r="M30" s="284"/>
      <c r="N30" s="440">
        <f>'(D) Tuition Revenue'!AH30</f>
        <v>-2531000</v>
      </c>
      <c r="O30" s="440"/>
      <c r="P30" s="440">
        <f>'(F) SUG '!L30</f>
        <v>3145000</v>
      </c>
      <c r="Q30" s="60"/>
      <c r="R30" s="240">
        <f t="shared" si="2"/>
        <v>-9701000</v>
      </c>
      <c r="S30" s="60"/>
      <c r="T30" s="240">
        <f t="shared" si="3"/>
        <v>46552297</v>
      </c>
    </row>
    <row r="31" spans="1:20" ht="9" customHeight="1">
      <c r="A31" s="184"/>
      <c r="B31" s="184"/>
      <c r="C31" s="184"/>
      <c r="D31" s="184"/>
      <c r="E31" s="289"/>
      <c r="F31" s="194"/>
      <c r="G31" s="429"/>
      <c r="H31" s="194"/>
      <c r="I31" s="194"/>
      <c r="J31" s="448"/>
      <c r="K31" s="194"/>
      <c r="L31" s="240"/>
      <c r="M31" s="194"/>
      <c r="N31" s="441"/>
      <c r="O31" s="441"/>
      <c r="P31" s="441"/>
      <c r="Q31" s="40"/>
      <c r="R31" s="240"/>
      <c r="S31" s="40"/>
      <c r="T31" s="240"/>
    </row>
    <row r="32" spans="1:20" ht="15.75">
      <c r="A32" s="196" t="s">
        <v>22</v>
      </c>
      <c r="B32" s="196"/>
      <c r="C32" s="303">
        <f>SUM(C8:C31)</f>
        <v>2444223736.16</v>
      </c>
      <c r="D32" s="196"/>
      <c r="E32" s="290">
        <f>SUM(E8:E31)</f>
        <v>-26640000</v>
      </c>
      <c r="F32" s="185">
        <f>SUM(F8:F30)</f>
        <v>-114665000</v>
      </c>
      <c r="G32" s="430">
        <f>SUM(G8:G30)</f>
        <v>-150000000</v>
      </c>
      <c r="H32" s="185">
        <f>SUM(H8:H31)</f>
        <v>-280530000</v>
      </c>
      <c r="I32" s="185"/>
      <c r="J32" s="449">
        <f>SUM(J8:J31)</f>
        <v>-571835000</v>
      </c>
      <c r="K32" s="185"/>
      <c r="L32" s="241">
        <f>SUM(L8:L30)</f>
        <v>1872388736.1599998</v>
      </c>
      <c r="M32" s="185"/>
      <c r="N32" s="442">
        <f>SUM(N8:N31)</f>
        <v>-153383000</v>
      </c>
      <c r="O32" s="442"/>
      <c r="P32" s="442">
        <f>SUM(P8:P31)</f>
        <v>153383000</v>
      </c>
      <c r="Q32" s="38"/>
      <c r="R32" s="241">
        <f>SUM(R8:R30)</f>
        <v>-571835000</v>
      </c>
      <c r="S32" s="38"/>
      <c r="T32" s="241">
        <f>SUM(T8:T30)</f>
        <v>1872388736.1599998</v>
      </c>
    </row>
    <row r="33" spans="1:20" ht="9" customHeight="1">
      <c r="A33" s="184"/>
      <c r="B33" s="184"/>
      <c r="C33" s="184"/>
      <c r="D33" s="184"/>
      <c r="E33" s="289"/>
      <c r="F33" s="194"/>
      <c r="G33" s="429"/>
      <c r="H33" s="194"/>
      <c r="I33" s="194"/>
      <c r="J33" s="448"/>
      <c r="K33" s="194"/>
      <c r="L33" s="240"/>
      <c r="M33" s="194"/>
      <c r="N33" s="441"/>
      <c r="O33" s="441"/>
      <c r="P33" s="441"/>
      <c r="Q33" s="40"/>
      <c r="R33" s="240"/>
      <c r="S33" s="40"/>
      <c r="T33" s="240"/>
    </row>
    <row r="34" spans="1:20" ht="15.75">
      <c r="A34" s="182" t="s">
        <v>23</v>
      </c>
      <c r="B34" s="182"/>
      <c r="C34" s="182">
        <f>'(B) Base Bud Adj'!N34</f>
        <v>75270802</v>
      </c>
      <c r="D34" s="182"/>
      <c r="E34" s="289">
        <v>0</v>
      </c>
      <c r="F34" s="194">
        <v>0</v>
      </c>
      <c r="G34" s="429">
        <v>0</v>
      </c>
      <c r="H34" s="194">
        <v>-10837000</v>
      </c>
      <c r="I34" s="194"/>
      <c r="J34" s="448">
        <f>SUM(E34:I34)</f>
        <v>-10837000</v>
      </c>
      <c r="K34" s="194"/>
      <c r="L34" s="240">
        <f>C34+J34</f>
        <v>64433802</v>
      </c>
      <c r="M34" s="194"/>
      <c r="N34" s="440">
        <f>'(D) Tuition Revenue'!AH34</f>
        <v>0</v>
      </c>
      <c r="O34" s="443"/>
      <c r="P34" s="443">
        <v>0</v>
      </c>
      <c r="Q34" s="26"/>
      <c r="R34" s="240">
        <f>J34+N34+P34</f>
        <v>-10837000</v>
      </c>
      <c r="S34" s="26"/>
      <c r="T34" s="240">
        <f>C34+R34</f>
        <v>64433802</v>
      </c>
    </row>
    <row r="35" spans="1:20" ht="15.75">
      <c r="A35" s="182" t="s">
        <v>30</v>
      </c>
      <c r="B35" s="182"/>
      <c r="C35" s="182">
        <f>'(B) Base Bud Adj'!N35</f>
        <v>981735</v>
      </c>
      <c r="D35" s="182"/>
      <c r="E35" s="289">
        <v>0</v>
      </c>
      <c r="F35" s="194">
        <v>0</v>
      </c>
      <c r="G35" s="429">
        <v>0</v>
      </c>
      <c r="H35" s="194">
        <v>0</v>
      </c>
      <c r="I35" s="194"/>
      <c r="J35" s="448">
        <f>SUM(E35:I35)</f>
        <v>0</v>
      </c>
      <c r="K35" s="194"/>
      <c r="L35" s="240">
        <f>C35+J35</f>
        <v>981735</v>
      </c>
      <c r="M35" s="194"/>
      <c r="N35" s="440">
        <f>'(D) Tuition Revenue'!AH35</f>
        <v>0</v>
      </c>
      <c r="O35" s="443"/>
      <c r="P35" s="443">
        <v>0</v>
      </c>
      <c r="Q35" s="26"/>
      <c r="R35" s="240">
        <f>J35+N35+P35</f>
        <v>0</v>
      </c>
      <c r="S35" s="26"/>
      <c r="T35" s="240">
        <f>C35+R35</f>
        <v>981735</v>
      </c>
    </row>
    <row r="36" spans="1:20" ht="15.75">
      <c r="A36" s="182" t="s">
        <v>24</v>
      </c>
      <c r="B36" s="182"/>
      <c r="C36" s="182">
        <f>'(B) Base Bud Adj'!N36</f>
        <v>2269496</v>
      </c>
      <c r="D36" s="182"/>
      <c r="E36" s="289">
        <v>0</v>
      </c>
      <c r="F36" s="194">
        <v>0</v>
      </c>
      <c r="G36" s="429">
        <v>0</v>
      </c>
      <c r="H36" s="194">
        <v>0</v>
      </c>
      <c r="I36" s="194"/>
      <c r="J36" s="448">
        <f>SUM(E36:I36)</f>
        <v>0</v>
      </c>
      <c r="K36" s="194"/>
      <c r="L36" s="240">
        <f>C36+J36</f>
        <v>2269496</v>
      </c>
      <c r="M36" s="194"/>
      <c r="N36" s="440">
        <f>'(D) Tuition Revenue'!AH36</f>
        <v>0</v>
      </c>
      <c r="O36" s="443"/>
      <c r="P36" s="443">
        <v>0</v>
      </c>
      <c r="Q36" s="26"/>
      <c r="R36" s="240">
        <f>J36+N36+P36</f>
        <v>0</v>
      </c>
      <c r="S36" s="26"/>
      <c r="T36" s="240">
        <f>C36+R36</f>
        <v>2269496</v>
      </c>
    </row>
    <row r="37" spans="1:20" ht="15.75">
      <c r="A37" s="182" t="s">
        <v>25</v>
      </c>
      <c r="B37" s="182"/>
      <c r="C37" s="182">
        <f>'(B) Base Bud Adj'!N37</f>
        <v>57800</v>
      </c>
      <c r="D37" s="182"/>
      <c r="E37" s="289">
        <v>0</v>
      </c>
      <c r="F37" s="194">
        <v>0</v>
      </c>
      <c r="G37" s="429">
        <v>0</v>
      </c>
      <c r="H37" s="194">
        <v>0</v>
      </c>
      <c r="I37" s="194"/>
      <c r="J37" s="448">
        <f>SUM(E37:I37)</f>
        <v>0</v>
      </c>
      <c r="K37" s="194"/>
      <c r="L37" s="240">
        <f>C37+J37</f>
        <v>57800</v>
      </c>
      <c r="M37" s="194"/>
      <c r="N37" s="440">
        <f>'(D) Tuition Revenue'!AH37</f>
        <v>0</v>
      </c>
      <c r="O37" s="443"/>
      <c r="P37" s="443">
        <v>0</v>
      </c>
      <c r="Q37" s="26"/>
      <c r="R37" s="240">
        <f>J37+N37+P37</f>
        <v>0</v>
      </c>
      <c r="S37" s="26"/>
      <c r="T37" s="240">
        <f>C37+R37</f>
        <v>57800</v>
      </c>
    </row>
    <row r="38" spans="1:20" ht="15.75">
      <c r="A38" s="198" t="s">
        <v>26</v>
      </c>
      <c r="B38" s="198"/>
      <c r="C38" s="182">
        <f>'(B) Base Bud Adj'!N38</f>
        <v>268469431</v>
      </c>
      <c r="D38" s="198"/>
      <c r="E38" s="289">
        <v>0</v>
      </c>
      <c r="F38" s="194">
        <v>0</v>
      </c>
      <c r="G38" s="429">
        <v>0</v>
      </c>
      <c r="H38" s="194">
        <f>-7436000+(7605900-57000-215000-212000-32000-128000-480000-11000)-66362900</f>
        <v>-67328000</v>
      </c>
      <c r="I38" s="194"/>
      <c r="J38" s="448">
        <f>SUM(E38:I38)</f>
        <v>-67328000</v>
      </c>
      <c r="K38" s="194"/>
      <c r="L38" s="240">
        <f>C38+J38</f>
        <v>201141431</v>
      </c>
      <c r="M38" s="194"/>
      <c r="N38" s="440">
        <f>'(D) Tuition Revenue'!AH38</f>
        <v>0</v>
      </c>
      <c r="O38" s="443"/>
      <c r="P38" s="443">
        <v>0</v>
      </c>
      <c r="Q38" s="26"/>
      <c r="R38" s="240">
        <f>J38+N38+P38</f>
        <v>-67328000</v>
      </c>
      <c r="S38" s="26"/>
      <c r="T38" s="240">
        <f>C38+R38</f>
        <v>201141431</v>
      </c>
    </row>
    <row r="39" spans="1:20" ht="9" customHeight="1">
      <c r="A39" s="199"/>
      <c r="B39" s="199"/>
      <c r="C39" s="199"/>
      <c r="D39" s="199"/>
      <c r="E39" s="291"/>
      <c r="F39" s="279"/>
      <c r="G39" s="431"/>
      <c r="H39" s="279"/>
      <c r="I39" s="279"/>
      <c r="J39" s="450"/>
      <c r="K39" s="194"/>
      <c r="L39" s="282"/>
      <c r="M39" s="194"/>
      <c r="N39" s="441"/>
      <c r="O39" s="441"/>
      <c r="P39" s="441"/>
      <c r="Q39" s="40"/>
      <c r="R39" s="282"/>
      <c r="S39" s="40"/>
      <c r="T39" s="282"/>
    </row>
    <row r="40" spans="1:20" ht="16.5" thickBot="1">
      <c r="A40" s="197" t="s">
        <v>27</v>
      </c>
      <c r="B40" s="197"/>
      <c r="C40" s="304">
        <f>SUM(C32:C39)</f>
        <v>2791273000.16</v>
      </c>
      <c r="D40" s="197"/>
      <c r="E40" s="283">
        <f>SUM(E32:E38)</f>
        <v>-26640000</v>
      </c>
      <c r="F40" s="186">
        <f>SUM(F32:F38)</f>
        <v>-114665000</v>
      </c>
      <c r="G40" s="432">
        <f>SUM(G32:G38)</f>
        <v>-150000000</v>
      </c>
      <c r="H40" s="186">
        <f>SUM(H32:H39)</f>
        <v>-358695000</v>
      </c>
      <c r="I40" s="186"/>
      <c r="J40" s="451">
        <f>SUM(J32:J39)</f>
        <v>-650000000</v>
      </c>
      <c r="K40" s="186"/>
      <c r="L40" s="242">
        <f>SUM(L32:L38)</f>
        <v>2141273000.1599998</v>
      </c>
      <c r="M40" s="186"/>
      <c r="N40" s="444">
        <f>SUM(N32:N38)</f>
        <v>-153383000</v>
      </c>
      <c r="O40" s="444"/>
      <c r="P40" s="444">
        <f>SUM(P32:P38)</f>
        <v>153383000</v>
      </c>
      <c r="Q40" s="42"/>
      <c r="R40" s="242">
        <f>SUM(R32:R38)</f>
        <v>-650000000</v>
      </c>
      <c r="S40" s="42"/>
      <c r="T40" s="242">
        <f>SUM(T32:T38)</f>
        <v>2141273000.1599998</v>
      </c>
    </row>
    <row r="41" spans="6:13" ht="9" customHeight="1">
      <c r="F41" s="202"/>
      <c r="G41" s="202"/>
      <c r="H41" s="202"/>
      <c r="I41" s="202"/>
      <c r="J41" s="452"/>
      <c r="K41" s="202"/>
      <c r="L41" s="202"/>
      <c r="M41" s="202"/>
    </row>
    <row r="42" spans="1:13" ht="18" customHeight="1">
      <c r="A42" s="184"/>
      <c r="B42" s="184"/>
      <c r="C42" s="184"/>
      <c r="D42" s="184"/>
      <c r="F42" s="202"/>
      <c r="G42" s="202"/>
      <c r="H42" s="202"/>
      <c r="I42" s="202"/>
      <c r="J42" s="452"/>
      <c r="K42" s="202"/>
      <c r="L42" s="202"/>
      <c r="M42" s="202"/>
    </row>
    <row r="43" spans="2:25" ht="15.75">
      <c r="B43" s="184"/>
      <c r="C43" s="184"/>
      <c r="D43" s="184"/>
      <c r="E43" s="202"/>
      <c r="F43" s="202"/>
      <c r="G43" s="202"/>
      <c r="H43" s="317">
        <f>(7605900-57000-215000-212000-32000-128000-480000-11000)</f>
        <v>6470900</v>
      </c>
      <c r="I43" s="202"/>
      <c r="J43" s="452"/>
      <c r="K43" s="202"/>
      <c r="L43" s="202"/>
      <c r="M43" s="202"/>
      <c r="U43" s="202"/>
      <c r="V43" s="202"/>
      <c r="W43" s="202"/>
      <c r="X43" s="202"/>
      <c r="Y43" s="215"/>
    </row>
    <row r="44" spans="5:25" ht="15.75">
      <c r="E44" s="202"/>
      <c r="F44" s="202"/>
      <c r="G44" s="202"/>
      <c r="H44" s="202"/>
      <c r="I44" s="202"/>
      <c r="J44" s="452"/>
      <c r="K44" s="202"/>
      <c r="L44" s="202"/>
      <c r="M44" s="202"/>
      <c r="U44" s="202"/>
      <c r="V44" s="202"/>
      <c r="W44" s="202"/>
      <c r="X44" s="202"/>
      <c r="Y44" s="215"/>
    </row>
    <row r="45" spans="5:25" ht="15.75">
      <c r="E45" s="202"/>
      <c r="F45" s="202"/>
      <c r="G45" s="202"/>
      <c r="H45" s="202"/>
      <c r="I45" s="202"/>
      <c r="J45" s="452"/>
      <c r="K45" s="202"/>
      <c r="L45" s="202"/>
      <c r="M45" s="202"/>
      <c r="U45" s="202"/>
      <c r="V45" s="202"/>
      <c r="W45" s="202"/>
      <c r="X45" s="202"/>
      <c r="Y45" s="202"/>
    </row>
    <row r="46" spans="5:25" ht="15.75">
      <c r="E46" s="202"/>
      <c r="F46" s="202"/>
      <c r="G46" s="202"/>
      <c r="H46" s="202"/>
      <c r="I46" s="202"/>
      <c r="J46" s="452"/>
      <c r="K46" s="202"/>
      <c r="L46" s="202"/>
      <c r="M46" s="202"/>
      <c r="U46" s="202"/>
      <c r="V46" s="202"/>
      <c r="W46" s="202"/>
      <c r="X46" s="202"/>
      <c r="Y46" s="202"/>
    </row>
    <row r="47" spans="5:25" ht="15.75">
      <c r="E47" s="202"/>
      <c r="F47" s="202"/>
      <c r="G47" s="202"/>
      <c r="H47" s="202"/>
      <c r="I47" s="202"/>
      <c r="J47" s="452"/>
      <c r="K47" s="202"/>
      <c r="L47" s="202"/>
      <c r="M47" s="202"/>
      <c r="U47" s="202"/>
      <c r="V47" s="202"/>
      <c r="W47" s="202"/>
      <c r="X47" s="202"/>
      <c r="Y47" s="202"/>
    </row>
    <row r="48" spans="5:25" ht="15.75">
      <c r="E48" s="202"/>
      <c r="F48" s="202"/>
      <c r="G48" s="202"/>
      <c r="H48" s="202"/>
      <c r="I48" s="202"/>
      <c r="J48" s="452"/>
      <c r="K48" s="202"/>
      <c r="L48" s="202"/>
      <c r="M48" s="202"/>
      <c r="U48" s="202"/>
      <c r="V48" s="202"/>
      <c r="W48" s="202"/>
      <c r="X48" s="202"/>
      <c r="Y48" s="202"/>
    </row>
    <row r="49" spans="5:25" ht="15.75">
      <c r="E49" s="202"/>
      <c r="F49" s="202"/>
      <c r="G49" s="202"/>
      <c r="H49" s="202"/>
      <c r="I49" s="202"/>
      <c r="J49" s="452"/>
      <c r="K49" s="202"/>
      <c r="L49" s="202"/>
      <c r="M49" s="202"/>
      <c r="U49" s="202"/>
      <c r="V49" s="202"/>
      <c r="W49" s="202"/>
      <c r="X49" s="202"/>
      <c r="Y49" s="202"/>
    </row>
    <row r="50" spans="1:4" ht="15.75">
      <c r="A50" s="201"/>
      <c r="B50" s="201"/>
      <c r="C50" s="201"/>
      <c r="D50" s="201"/>
    </row>
    <row r="51" spans="1:4" ht="15.75">
      <c r="A51" s="201"/>
      <c r="B51" s="201"/>
      <c r="C51" s="201"/>
      <c r="D51" s="201"/>
    </row>
    <row r="52" spans="1:4" ht="15.75">
      <c r="A52" s="201"/>
      <c r="B52" s="201"/>
      <c r="C52" s="201"/>
      <c r="D52" s="201"/>
    </row>
    <row r="53" spans="1:4" ht="15.75">
      <c r="A53" s="201"/>
      <c r="B53" s="201"/>
      <c r="C53" s="201"/>
      <c r="D53" s="201"/>
    </row>
    <row r="54" spans="1:4" ht="15.75">
      <c r="A54" s="201"/>
      <c r="B54" s="201"/>
      <c r="C54" s="201"/>
      <c r="D54" s="201"/>
    </row>
    <row r="55" spans="1:4" ht="15.75">
      <c r="A55" s="203"/>
      <c r="B55" s="203"/>
      <c r="C55" s="203"/>
      <c r="D55" s="203"/>
    </row>
    <row r="56" spans="1:4" ht="15.75">
      <c r="A56" s="201"/>
      <c r="B56" s="201"/>
      <c r="C56" s="201"/>
      <c r="D56" s="201"/>
    </row>
    <row r="57" spans="1:4" ht="15.75">
      <c r="A57" s="201"/>
      <c r="B57" s="201"/>
      <c r="C57" s="201"/>
      <c r="D57" s="201"/>
    </row>
    <row r="58" spans="1:4" ht="15.75">
      <c r="A58" s="201"/>
      <c r="B58" s="201"/>
      <c r="C58" s="201"/>
      <c r="D58" s="201"/>
    </row>
    <row r="59" spans="1:4" ht="15.75">
      <c r="A59" s="201"/>
      <c r="B59" s="201"/>
      <c r="C59" s="201"/>
      <c r="D59" s="201"/>
    </row>
    <row r="60" spans="1:4" ht="15.75">
      <c r="A60" s="201"/>
      <c r="B60" s="201"/>
      <c r="C60" s="201"/>
      <c r="D60" s="201"/>
    </row>
    <row r="61" spans="1:4" ht="15.75">
      <c r="A61" s="201"/>
      <c r="B61" s="201"/>
      <c r="C61" s="201"/>
      <c r="D61" s="201"/>
    </row>
    <row r="62" spans="1:4" ht="15.75">
      <c r="A62" s="201"/>
      <c r="B62" s="201"/>
      <c r="C62" s="201"/>
      <c r="D62" s="201"/>
    </row>
    <row r="63" spans="1:4" ht="15.75">
      <c r="A63" s="203"/>
      <c r="B63" s="203"/>
      <c r="C63" s="203"/>
      <c r="D63" s="203"/>
    </row>
    <row r="64" spans="1:4" ht="15.75">
      <c r="A64" s="201"/>
      <c r="B64" s="201"/>
      <c r="C64" s="201"/>
      <c r="D64" s="201"/>
    </row>
    <row r="65" spans="1:4" ht="15.75">
      <c r="A65" s="201"/>
      <c r="B65" s="201"/>
      <c r="C65" s="201"/>
      <c r="D65" s="201"/>
    </row>
    <row r="66" spans="1:4" ht="15.75">
      <c r="A66" s="201"/>
      <c r="B66" s="201"/>
      <c r="C66" s="201"/>
      <c r="D66" s="201"/>
    </row>
    <row r="67" spans="1:4" ht="15.75">
      <c r="A67" s="201"/>
      <c r="B67" s="201"/>
      <c r="C67" s="201"/>
      <c r="D67" s="201"/>
    </row>
    <row r="68" spans="1:4" ht="15.75">
      <c r="A68" s="201"/>
      <c r="B68" s="201"/>
      <c r="C68" s="201"/>
      <c r="D68" s="201"/>
    </row>
    <row r="69" spans="1:4" ht="15.75">
      <c r="A69" s="201"/>
      <c r="B69" s="201"/>
      <c r="C69" s="201"/>
      <c r="D69" s="201"/>
    </row>
  </sheetData>
  <sheetProtection/>
  <mergeCells count="2">
    <mergeCell ref="E4:J4"/>
    <mergeCell ref="N4:P4"/>
  </mergeCells>
  <printOptions/>
  <pageMargins left="0.5" right="0.25" top="0.25" bottom="0.25" header="0.3" footer="0.3"/>
  <pageSetup fitToHeight="1" fitToWidth="1" horizontalDpi="600" verticalDpi="600" orientation="landscape" paperSize="5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49"/>
  <sheetViews>
    <sheetView view="pageBreakPreview" zoomScale="50" zoomScaleSheetLayoutView="50" zoomScalePageLayoutView="0" workbookViewId="0" topLeftCell="A1">
      <pane xSplit="1" ySplit="7" topLeftCell="B14" activePane="bottomRight" state="frozen"/>
      <selection pane="topLeft" activeCell="A1" sqref="A1"/>
      <selection pane="topRight" activeCell="B1" sqref="B1"/>
      <selection pane="bottomLeft" activeCell="A8" sqref="A8"/>
      <selection pane="bottomRight" activeCell="O17" sqref="O17"/>
    </sheetView>
  </sheetViews>
  <sheetFormatPr defaultColWidth="9.33203125" defaultRowHeight="12.75"/>
  <cols>
    <col min="1" max="1" width="24.16015625" style="338" customWidth="1"/>
    <col min="2" max="2" width="11.83203125" style="338" customWidth="1"/>
    <col min="3" max="5" width="13.83203125" style="338" customWidth="1"/>
    <col min="6" max="6" width="12.83203125" style="338" customWidth="1"/>
    <col min="7" max="7" width="1.83203125" style="338" customWidth="1"/>
    <col min="8" max="8" width="16.83203125" style="338" customWidth="1"/>
    <col min="9" max="9" width="1.83203125" style="338" customWidth="1"/>
    <col min="10" max="10" width="22.83203125" style="338" bestFit="1" customWidth="1"/>
    <col min="11" max="11" width="22.16015625" style="338" bestFit="1" customWidth="1"/>
    <col min="12" max="12" width="24.16015625" style="338" bestFit="1" customWidth="1"/>
    <col min="13" max="13" width="24.83203125" style="338" bestFit="1" customWidth="1"/>
    <col min="14" max="15" width="20.83203125" style="338" bestFit="1" customWidth="1"/>
    <col min="16" max="16" width="19.16015625" style="338" bestFit="1" customWidth="1"/>
    <col min="17" max="17" width="13.83203125" style="338" customWidth="1"/>
    <col min="18" max="18" width="14.83203125" style="338" customWidth="1"/>
    <col min="19" max="19" width="13.83203125" style="338" customWidth="1"/>
    <col min="20" max="20" width="15.33203125" style="338" customWidth="1"/>
    <col min="21" max="22" width="22.83203125" style="399" bestFit="1" customWidth="1"/>
    <col min="23" max="23" width="20.5" style="338" bestFit="1" customWidth="1"/>
    <col min="24" max="24" width="22.16015625" style="338" bestFit="1" customWidth="1"/>
    <col min="25" max="25" width="21.16015625" style="338" bestFit="1" customWidth="1"/>
    <col min="26" max="26" width="20.83203125" style="338" bestFit="1" customWidth="1"/>
    <col min="27" max="27" width="13.83203125" style="338" customWidth="1"/>
    <col min="28" max="28" width="17" style="338" customWidth="1"/>
    <col min="29" max="29" width="22.83203125" style="338" bestFit="1" customWidth="1"/>
    <col min="30" max="30" width="16.33203125" style="338" bestFit="1" customWidth="1"/>
    <col min="31" max="31" width="17.5" style="338" bestFit="1" customWidth="1"/>
    <col min="32" max="32" width="17" style="338" bestFit="1" customWidth="1"/>
    <col min="33" max="33" width="17.5" style="338" bestFit="1" customWidth="1"/>
    <col min="34" max="34" width="18.5" style="338" bestFit="1" customWidth="1"/>
    <col min="35" max="35" width="17.5" style="338" bestFit="1" customWidth="1"/>
    <col min="36" max="36" width="4.16015625" style="338" customWidth="1"/>
    <col min="37" max="37" width="12.16015625" style="338" customWidth="1"/>
    <col min="38" max="241" width="8.83203125" style="338" customWidth="1"/>
    <col min="242" max="242" width="24.16015625" style="338" customWidth="1"/>
    <col min="243" max="245" width="16.5" style="338" customWidth="1"/>
    <col min="246" max="246" width="18" style="338" customWidth="1"/>
    <col min="247" max="247" width="16.5" style="338" customWidth="1"/>
    <col min="248" max="248" width="4" style="338" customWidth="1"/>
    <col min="249" max="251" width="9.33203125" style="338" customWidth="1"/>
    <col min="252" max="252" width="22.5" style="338" customWidth="1"/>
    <col min="253" max="253" width="3.83203125" style="338" customWidth="1"/>
    <col min="254" max="254" width="16.5" style="338" customWidth="1"/>
    <col min="255" max="255" width="17.33203125" style="338" customWidth="1"/>
    <col min="256" max="16384" width="16.5" style="338" customWidth="1"/>
  </cols>
  <sheetData>
    <row r="1" spans="1:35" s="326" customFormat="1" ht="16.5">
      <c r="A1" s="325" t="s">
        <v>158</v>
      </c>
      <c r="B1" s="325" t="s">
        <v>159</v>
      </c>
      <c r="M1" s="327"/>
      <c r="T1" s="328" t="s">
        <v>160</v>
      </c>
      <c r="U1" s="329"/>
      <c r="W1" s="328"/>
      <c r="X1" s="328"/>
      <c r="Y1" s="328"/>
      <c r="AF1" s="330"/>
      <c r="AH1" s="331"/>
      <c r="AI1" s="332"/>
    </row>
    <row r="2" spans="1:35" s="333" customFormat="1" ht="6" customHeight="1">
      <c r="A2" s="177"/>
      <c r="U2" s="334"/>
      <c r="V2" s="334"/>
      <c r="AI2" s="335"/>
    </row>
    <row r="3" spans="1:35" ht="15.75" customHeight="1" thickBot="1">
      <c r="A3" s="336"/>
      <c r="B3" s="84">
        <v>-1</v>
      </c>
      <c r="C3" s="84">
        <v>-2</v>
      </c>
      <c r="D3" s="84">
        <v>-3</v>
      </c>
      <c r="E3" s="84">
        <v>-4</v>
      </c>
      <c r="F3" s="84">
        <v>-5</v>
      </c>
      <c r="G3" s="84"/>
      <c r="H3" s="84">
        <v>-6</v>
      </c>
      <c r="I3" s="84"/>
      <c r="J3" s="84">
        <v>-7</v>
      </c>
      <c r="K3" s="84">
        <v>-8</v>
      </c>
      <c r="L3" s="337">
        <v>-9</v>
      </c>
      <c r="M3" s="337">
        <v>-10</v>
      </c>
      <c r="N3" s="84">
        <v>-11</v>
      </c>
      <c r="O3" s="84">
        <v>-12</v>
      </c>
      <c r="P3" s="84">
        <v>-13</v>
      </c>
      <c r="Q3" s="84">
        <v>-14</v>
      </c>
      <c r="R3" s="84">
        <v>-15</v>
      </c>
      <c r="S3" s="84">
        <v>-16</v>
      </c>
      <c r="T3" s="84">
        <v>-17</v>
      </c>
      <c r="U3" s="337">
        <v>-18</v>
      </c>
      <c r="V3" s="337">
        <v>-19</v>
      </c>
      <c r="W3" s="84">
        <v>-20</v>
      </c>
      <c r="X3" s="84">
        <v>-21</v>
      </c>
      <c r="Y3" s="84">
        <v>-22</v>
      </c>
      <c r="Z3" s="84">
        <v>-23</v>
      </c>
      <c r="AA3" s="84">
        <v>-24</v>
      </c>
      <c r="AB3" s="84">
        <v>-25</v>
      </c>
      <c r="AC3" s="84">
        <v>-26</v>
      </c>
      <c r="AD3" s="84">
        <v>-27</v>
      </c>
      <c r="AE3" s="337">
        <v>-28</v>
      </c>
      <c r="AF3" s="337">
        <v>-29</v>
      </c>
      <c r="AG3" s="337">
        <v>-30</v>
      </c>
      <c r="AH3" s="337">
        <v>-31</v>
      </c>
      <c r="AI3" s="337">
        <v>-32</v>
      </c>
    </row>
    <row r="4" spans="1:35" ht="18" thickBot="1">
      <c r="A4" s="339"/>
      <c r="B4" s="464" t="s">
        <v>66</v>
      </c>
      <c r="C4" s="465"/>
      <c r="D4" s="465"/>
      <c r="E4" s="465"/>
      <c r="F4" s="465"/>
      <c r="G4" s="465"/>
      <c r="H4" s="465"/>
      <c r="I4" s="465"/>
      <c r="J4" s="465"/>
      <c r="K4" s="461"/>
      <c r="L4" s="465"/>
      <c r="M4" s="466"/>
      <c r="N4" s="464" t="s">
        <v>161</v>
      </c>
      <c r="O4" s="465"/>
      <c r="P4" s="465"/>
      <c r="Q4" s="465"/>
      <c r="R4" s="465"/>
      <c r="S4" s="465"/>
      <c r="T4" s="465" t="s">
        <v>162</v>
      </c>
      <c r="U4" s="465"/>
      <c r="V4" s="466"/>
      <c r="W4" s="467" t="s">
        <v>40</v>
      </c>
      <c r="X4" s="468"/>
      <c r="Y4" s="468"/>
      <c r="Z4" s="468"/>
      <c r="AA4" s="468"/>
      <c r="AB4" s="468"/>
      <c r="AC4" s="468"/>
      <c r="AD4" s="468"/>
      <c r="AE4" s="468"/>
      <c r="AF4" s="469"/>
      <c r="AG4" s="460" t="s">
        <v>63</v>
      </c>
      <c r="AH4" s="461"/>
      <c r="AI4" s="462"/>
    </row>
    <row r="5" spans="1:35" s="347" customFormat="1" ht="102" customHeight="1" thickBot="1">
      <c r="A5" s="340"/>
      <c r="B5" s="341" t="s">
        <v>126</v>
      </c>
      <c r="C5" s="341" t="s">
        <v>88</v>
      </c>
      <c r="D5" s="341" t="s">
        <v>89</v>
      </c>
      <c r="E5" s="341" t="s">
        <v>140</v>
      </c>
      <c r="F5" s="341" t="s">
        <v>127</v>
      </c>
      <c r="G5" s="341"/>
      <c r="H5" s="453" t="s">
        <v>192</v>
      </c>
      <c r="I5" s="341"/>
      <c r="J5" s="342" t="s">
        <v>163</v>
      </c>
      <c r="K5" s="342" t="s">
        <v>164</v>
      </c>
      <c r="L5" s="343" t="s">
        <v>198</v>
      </c>
      <c r="M5" s="344" t="s">
        <v>165</v>
      </c>
      <c r="N5" s="341" t="s">
        <v>126</v>
      </c>
      <c r="O5" s="341" t="s">
        <v>88</v>
      </c>
      <c r="P5" s="341" t="s">
        <v>90</v>
      </c>
      <c r="Q5" s="341" t="s">
        <v>140</v>
      </c>
      <c r="R5" s="453" t="s">
        <v>139</v>
      </c>
      <c r="S5" s="342" t="s">
        <v>166</v>
      </c>
      <c r="T5" s="342" t="s">
        <v>164</v>
      </c>
      <c r="U5" s="343" t="s">
        <v>197</v>
      </c>
      <c r="V5" s="344" t="s">
        <v>165</v>
      </c>
      <c r="W5" s="342" t="s">
        <v>41</v>
      </c>
      <c r="X5" s="341" t="s">
        <v>88</v>
      </c>
      <c r="Y5" s="341" t="s">
        <v>90</v>
      </c>
      <c r="Z5" s="341" t="s">
        <v>127</v>
      </c>
      <c r="AA5" s="341" t="s">
        <v>140</v>
      </c>
      <c r="AB5" s="453" t="s">
        <v>138</v>
      </c>
      <c r="AC5" s="342" t="s">
        <v>166</v>
      </c>
      <c r="AD5" s="342" t="s">
        <v>164</v>
      </c>
      <c r="AE5" s="343" t="s">
        <v>197</v>
      </c>
      <c r="AF5" s="344" t="s">
        <v>165</v>
      </c>
      <c r="AG5" s="345" t="s">
        <v>141</v>
      </c>
      <c r="AH5" s="343" t="s">
        <v>105</v>
      </c>
      <c r="AI5" s="346" t="s">
        <v>142</v>
      </c>
    </row>
    <row r="6" spans="1:35" s="355" customFormat="1" ht="22.5" customHeight="1">
      <c r="A6" s="348"/>
      <c r="B6" s="349"/>
      <c r="C6" s="349"/>
      <c r="D6" s="349"/>
      <c r="E6" s="349"/>
      <c r="F6" s="349"/>
      <c r="G6" s="463"/>
      <c r="H6" s="463"/>
      <c r="I6" s="463"/>
      <c r="J6" s="350"/>
      <c r="K6" s="255" t="s">
        <v>91</v>
      </c>
      <c r="L6" s="350"/>
      <c r="M6" s="255" t="s">
        <v>167</v>
      </c>
      <c r="N6" s="351"/>
      <c r="O6" s="352"/>
      <c r="P6" s="352"/>
      <c r="Q6" s="352"/>
      <c r="R6" s="256" t="s">
        <v>168</v>
      </c>
      <c r="S6" s="350"/>
      <c r="T6" s="256" t="s">
        <v>169</v>
      </c>
      <c r="U6" s="350"/>
      <c r="V6" s="257" t="s">
        <v>170</v>
      </c>
      <c r="W6" s="258" t="s">
        <v>171</v>
      </c>
      <c r="X6" s="258" t="s">
        <v>172</v>
      </c>
      <c r="Y6" s="258" t="s">
        <v>173</v>
      </c>
      <c r="Z6" s="256" t="s">
        <v>92</v>
      </c>
      <c r="AA6" s="258" t="s">
        <v>174</v>
      </c>
      <c r="AB6" s="258" t="s">
        <v>175</v>
      </c>
      <c r="AC6" s="258" t="s">
        <v>176</v>
      </c>
      <c r="AD6" s="258" t="s">
        <v>177</v>
      </c>
      <c r="AE6" s="258" t="s">
        <v>178</v>
      </c>
      <c r="AF6" s="259" t="s">
        <v>194</v>
      </c>
      <c r="AG6" s="353" t="s">
        <v>179</v>
      </c>
      <c r="AH6" s="260" t="s">
        <v>180</v>
      </c>
      <c r="AI6" s="354" t="s">
        <v>181</v>
      </c>
    </row>
    <row r="7" spans="1:35" s="362" customFormat="1" ht="6" customHeight="1">
      <c r="A7" s="356"/>
      <c r="B7" s="357"/>
      <c r="C7" s="357"/>
      <c r="D7" s="357"/>
      <c r="E7" s="357"/>
      <c r="F7" s="357"/>
      <c r="G7" s="357"/>
      <c r="H7" s="357"/>
      <c r="I7" s="357"/>
      <c r="J7" s="357"/>
      <c r="K7" s="357"/>
      <c r="L7" s="358"/>
      <c r="M7" s="358"/>
      <c r="N7" s="359"/>
      <c r="O7" s="357"/>
      <c r="P7" s="357"/>
      <c r="Q7" s="357"/>
      <c r="R7" s="357"/>
      <c r="S7" s="357"/>
      <c r="T7" s="357"/>
      <c r="U7" s="358"/>
      <c r="V7" s="360"/>
      <c r="W7" s="357"/>
      <c r="X7" s="357"/>
      <c r="Y7" s="357"/>
      <c r="Z7" s="357"/>
      <c r="AA7" s="357"/>
      <c r="AB7" s="357"/>
      <c r="AC7" s="357"/>
      <c r="AD7" s="357"/>
      <c r="AE7" s="358"/>
      <c r="AF7" s="360"/>
      <c r="AG7" s="361"/>
      <c r="AH7" s="358"/>
      <c r="AI7" s="360"/>
    </row>
    <row r="8" spans="1:35" ht="15">
      <c r="A8" s="363" t="s">
        <v>0</v>
      </c>
      <c r="B8" s="364">
        <v>-112000</v>
      </c>
      <c r="C8" s="364">
        <v>0</v>
      </c>
      <c r="D8" s="364">
        <v>729000</v>
      </c>
      <c r="E8" s="364">
        <v>167000</v>
      </c>
      <c r="F8" s="364">
        <v>949000</v>
      </c>
      <c r="G8" s="364"/>
      <c r="H8" s="364">
        <v>-502000</v>
      </c>
      <c r="I8" s="364"/>
      <c r="J8" s="364">
        <v>3177000</v>
      </c>
      <c r="K8" s="365">
        <f>-ROUND((J8/3)/1000,0)*1000</f>
        <v>-1059000</v>
      </c>
      <c r="L8" s="366">
        <v>4197000</v>
      </c>
      <c r="M8" s="367">
        <f>-ROUND((L8/3)/1000,0)*1000</f>
        <v>-1399000</v>
      </c>
      <c r="N8" s="368">
        <v>50000</v>
      </c>
      <c r="O8" s="364">
        <v>0</v>
      </c>
      <c r="P8" s="364">
        <v>12000</v>
      </c>
      <c r="Q8" s="364">
        <v>3000</v>
      </c>
      <c r="R8" s="364">
        <v>-5000</v>
      </c>
      <c r="S8" s="364">
        <v>52000</v>
      </c>
      <c r="T8" s="364">
        <f>-ROUND(S8/3,-3)</f>
        <v>-17000</v>
      </c>
      <c r="U8" s="366">
        <v>69000</v>
      </c>
      <c r="V8" s="369">
        <f>-ROUND(U8/3,-3)</f>
        <v>-23000</v>
      </c>
      <c r="W8" s="364">
        <f aca="true" t="shared" si="0" ref="W8:Y30">B8+N8</f>
        <v>-62000</v>
      </c>
      <c r="X8" s="364">
        <f t="shared" si="0"/>
        <v>0</v>
      </c>
      <c r="Y8" s="364">
        <f t="shared" si="0"/>
        <v>741000</v>
      </c>
      <c r="Z8" s="364">
        <f aca="true" t="shared" si="1" ref="Z8:Z30">F8</f>
        <v>949000</v>
      </c>
      <c r="AA8" s="364">
        <f aca="true" t="shared" si="2" ref="AA8:AA30">E8+Q8</f>
        <v>170000</v>
      </c>
      <c r="AB8" s="364">
        <f aca="true" t="shared" si="3" ref="AB8:AB30">H8+R8</f>
        <v>-507000</v>
      </c>
      <c r="AC8" s="364">
        <f>J8+S8</f>
        <v>3229000</v>
      </c>
      <c r="AD8" s="364">
        <f>K8+T8</f>
        <v>-1076000</v>
      </c>
      <c r="AE8" s="366">
        <f>L8+U8</f>
        <v>4266000</v>
      </c>
      <c r="AF8" s="366">
        <f>M8+V8</f>
        <v>-1422000</v>
      </c>
      <c r="AG8" s="370">
        <f>W8+X8+Z8+AA8+AC8+Y8+AE8</f>
        <v>9293000</v>
      </c>
      <c r="AH8" s="366">
        <f>AB8+AD8+AF8</f>
        <v>-3005000</v>
      </c>
      <c r="AI8" s="369">
        <f>AG8+AH8</f>
        <v>6288000</v>
      </c>
    </row>
    <row r="9" spans="1:35" ht="15">
      <c r="A9" s="371" t="s">
        <v>1</v>
      </c>
      <c r="B9" s="372">
        <v>188000</v>
      </c>
      <c r="C9" s="372">
        <v>-23000</v>
      </c>
      <c r="D9" s="372">
        <v>361000</v>
      </c>
      <c r="E9" s="372">
        <v>0</v>
      </c>
      <c r="F9" s="372">
        <v>974000</v>
      </c>
      <c r="G9" s="372"/>
      <c r="H9" s="372">
        <v>-325000</v>
      </c>
      <c r="I9" s="372"/>
      <c r="J9" s="372">
        <v>1610000</v>
      </c>
      <c r="K9" s="372">
        <f aca="true" t="shared" si="4" ref="K9:M30">-ROUND((J9/3)/1000,0)*1000</f>
        <v>-537000</v>
      </c>
      <c r="L9" s="373">
        <v>2132000</v>
      </c>
      <c r="M9" s="373">
        <f t="shared" si="4"/>
        <v>-711000</v>
      </c>
      <c r="N9" s="374">
        <v>1000</v>
      </c>
      <c r="O9" s="372">
        <v>0</v>
      </c>
      <c r="P9" s="372">
        <v>1000</v>
      </c>
      <c r="Q9" s="372">
        <v>0</v>
      </c>
      <c r="R9" s="372">
        <v>0</v>
      </c>
      <c r="S9" s="372">
        <v>4000</v>
      </c>
      <c r="T9" s="372">
        <f aca="true" t="shared" si="5" ref="T9:V30">-ROUND(S9/3,-3)</f>
        <v>-1000</v>
      </c>
      <c r="U9" s="373">
        <v>7000</v>
      </c>
      <c r="V9" s="375">
        <f t="shared" si="5"/>
        <v>-2000</v>
      </c>
      <c r="W9" s="372">
        <f t="shared" si="0"/>
        <v>189000</v>
      </c>
      <c r="X9" s="372">
        <f t="shared" si="0"/>
        <v>-23000</v>
      </c>
      <c r="Y9" s="372">
        <f t="shared" si="0"/>
        <v>362000</v>
      </c>
      <c r="Z9" s="372">
        <f t="shared" si="1"/>
        <v>974000</v>
      </c>
      <c r="AA9" s="372">
        <f t="shared" si="2"/>
        <v>0</v>
      </c>
      <c r="AB9" s="372">
        <f t="shared" si="3"/>
        <v>-325000</v>
      </c>
      <c r="AC9" s="372">
        <f aca="true" t="shared" si="6" ref="AC9:AF30">J9+S9</f>
        <v>1614000</v>
      </c>
      <c r="AD9" s="372">
        <f>K9+T9</f>
        <v>-538000</v>
      </c>
      <c r="AE9" s="373">
        <f>L9+U9</f>
        <v>2139000</v>
      </c>
      <c r="AF9" s="373">
        <f>M9+V9</f>
        <v>-713000</v>
      </c>
      <c r="AG9" s="376">
        <f>W9+X9+Z9+AA9+AC9+Y9+AE9</f>
        <v>5255000</v>
      </c>
      <c r="AH9" s="373">
        <f>AB9+AD9+AF9</f>
        <v>-1576000</v>
      </c>
      <c r="AI9" s="375">
        <f>AG9+AH9</f>
        <v>3679000</v>
      </c>
    </row>
    <row r="10" spans="1:35" ht="15">
      <c r="A10" s="371" t="s">
        <v>2</v>
      </c>
      <c r="B10" s="372">
        <v>651000</v>
      </c>
      <c r="C10" s="372">
        <v>-614000</v>
      </c>
      <c r="D10" s="372">
        <v>1518000</v>
      </c>
      <c r="E10" s="372">
        <v>0</v>
      </c>
      <c r="F10" s="372">
        <v>1094000</v>
      </c>
      <c r="G10" s="372"/>
      <c r="H10" s="372">
        <v>-754000</v>
      </c>
      <c r="I10" s="372"/>
      <c r="J10" s="372">
        <v>6526000</v>
      </c>
      <c r="K10" s="372">
        <f t="shared" si="4"/>
        <v>-2175000</v>
      </c>
      <c r="L10" s="373">
        <v>8638000</v>
      </c>
      <c r="M10" s="373">
        <f t="shared" si="4"/>
        <v>-2879000</v>
      </c>
      <c r="N10" s="374">
        <v>261000</v>
      </c>
      <c r="O10" s="372">
        <v>-63000</v>
      </c>
      <c r="P10" s="372">
        <v>58000</v>
      </c>
      <c r="Q10" s="372">
        <v>0</v>
      </c>
      <c r="R10" s="372">
        <v>-19000</v>
      </c>
      <c r="S10" s="372">
        <v>244000</v>
      </c>
      <c r="T10" s="372">
        <f t="shared" si="5"/>
        <v>-81000</v>
      </c>
      <c r="U10" s="373">
        <v>325000</v>
      </c>
      <c r="V10" s="375">
        <f t="shared" si="5"/>
        <v>-108000</v>
      </c>
      <c r="W10" s="372">
        <f t="shared" si="0"/>
        <v>912000</v>
      </c>
      <c r="X10" s="372">
        <f t="shared" si="0"/>
        <v>-677000</v>
      </c>
      <c r="Y10" s="372">
        <f t="shared" si="0"/>
        <v>1576000</v>
      </c>
      <c r="Z10" s="372">
        <f t="shared" si="1"/>
        <v>1094000</v>
      </c>
      <c r="AA10" s="372">
        <f t="shared" si="2"/>
        <v>0</v>
      </c>
      <c r="AB10" s="372">
        <f t="shared" si="3"/>
        <v>-773000</v>
      </c>
      <c r="AC10" s="372">
        <f t="shared" si="6"/>
        <v>6770000</v>
      </c>
      <c r="AD10" s="372">
        <f t="shared" si="6"/>
        <v>-2256000</v>
      </c>
      <c r="AE10" s="373">
        <f t="shared" si="6"/>
        <v>8963000</v>
      </c>
      <c r="AF10" s="373">
        <f t="shared" si="6"/>
        <v>-2987000</v>
      </c>
      <c r="AG10" s="376">
        <f aca="true" t="shared" si="7" ref="AG10:AG30">W10+X10+Z10+AA10+AC10+Y10+AE10</f>
        <v>18638000</v>
      </c>
      <c r="AH10" s="373">
        <f aca="true" t="shared" si="8" ref="AH10:AH29">AB10+AD10+AF10</f>
        <v>-6016000</v>
      </c>
      <c r="AI10" s="375">
        <f aca="true" t="shared" si="9" ref="AI10:AI29">AG10+AH10</f>
        <v>12622000</v>
      </c>
    </row>
    <row r="11" spans="1:35" ht="15">
      <c r="A11" s="371" t="s">
        <v>3</v>
      </c>
      <c r="B11" s="372">
        <v>-950000</v>
      </c>
      <c r="C11" s="372">
        <v>-714000</v>
      </c>
      <c r="D11" s="372">
        <v>1183000</v>
      </c>
      <c r="E11" s="372">
        <v>0</v>
      </c>
      <c r="F11" s="372">
        <v>2113000</v>
      </c>
      <c r="G11" s="372"/>
      <c r="H11" s="372">
        <v>-784000</v>
      </c>
      <c r="I11" s="372"/>
      <c r="J11" s="372">
        <v>5231000</v>
      </c>
      <c r="K11" s="372">
        <f t="shared" si="4"/>
        <v>-1744000</v>
      </c>
      <c r="L11" s="373">
        <v>6916000</v>
      </c>
      <c r="M11" s="373">
        <f t="shared" si="4"/>
        <v>-2305000</v>
      </c>
      <c r="N11" s="374">
        <v>126000</v>
      </c>
      <c r="O11" s="372">
        <v>-36000</v>
      </c>
      <c r="P11" s="372">
        <v>16000</v>
      </c>
      <c r="Q11" s="372">
        <v>0</v>
      </c>
      <c r="R11" s="372">
        <v>-5000</v>
      </c>
      <c r="S11" s="372">
        <v>58000</v>
      </c>
      <c r="T11" s="372">
        <f t="shared" si="5"/>
        <v>-19000</v>
      </c>
      <c r="U11" s="373">
        <v>80000</v>
      </c>
      <c r="V11" s="375">
        <f t="shared" si="5"/>
        <v>-27000</v>
      </c>
      <c r="W11" s="372">
        <f t="shared" si="0"/>
        <v>-824000</v>
      </c>
      <c r="X11" s="372">
        <f t="shared" si="0"/>
        <v>-750000</v>
      </c>
      <c r="Y11" s="372">
        <f t="shared" si="0"/>
        <v>1199000</v>
      </c>
      <c r="Z11" s="372">
        <f t="shared" si="1"/>
        <v>2113000</v>
      </c>
      <c r="AA11" s="372">
        <f t="shared" si="2"/>
        <v>0</v>
      </c>
      <c r="AB11" s="372">
        <f t="shared" si="3"/>
        <v>-789000</v>
      </c>
      <c r="AC11" s="372">
        <f t="shared" si="6"/>
        <v>5289000</v>
      </c>
      <c r="AD11" s="372">
        <f t="shared" si="6"/>
        <v>-1763000</v>
      </c>
      <c r="AE11" s="373">
        <f t="shared" si="6"/>
        <v>6996000</v>
      </c>
      <c r="AF11" s="373">
        <f t="shared" si="6"/>
        <v>-2332000</v>
      </c>
      <c r="AG11" s="376">
        <f t="shared" si="7"/>
        <v>14023000</v>
      </c>
      <c r="AH11" s="373">
        <f t="shared" si="8"/>
        <v>-4884000</v>
      </c>
      <c r="AI11" s="375">
        <f t="shared" si="9"/>
        <v>9139000</v>
      </c>
    </row>
    <row r="12" spans="1:35" ht="15">
      <c r="A12" s="371" t="s">
        <v>29</v>
      </c>
      <c r="B12" s="372">
        <v>1080000</v>
      </c>
      <c r="C12" s="372">
        <v>0</v>
      </c>
      <c r="D12" s="372">
        <v>1174000</v>
      </c>
      <c r="E12" s="372">
        <v>659000</v>
      </c>
      <c r="F12" s="372">
        <v>719000</v>
      </c>
      <c r="G12" s="372"/>
      <c r="H12" s="372">
        <v>-757000</v>
      </c>
      <c r="I12" s="372"/>
      <c r="J12" s="372">
        <v>5039000</v>
      </c>
      <c r="K12" s="372">
        <f t="shared" si="4"/>
        <v>-1680000</v>
      </c>
      <c r="L12" s="373">
        <v>6653000</v>
      </c>
      <c r="M12" s="373">
        <f t="shared" si="4"/>
        <v>-2218000</v>
      </c>
      <c r="N12" s="374">
        <v>843000</v>
      </c>
      <c r="O12" s="372">
        <v>0</v>
      </c>
      <c r="P12" s="372">
        <v>124000</v>
      </c>
      <c r="Q12" s="372">
        <v>69000</v>
      </c>
      <c r="R12" s="372">
        <v>-64000</v>
      </c>
      <c r="S12" s="372">
        <v>529000</v>
      </c>
      <c r="T12" s="372">
        <f t="shared" si="5"/>
        <v>-176000</v>
      </c>
      <c r="U12" s="373">
        <v>698000</v>
      </c>
      <c r="V12" s="375">
        <f t="shared" si="5"/>
        <v>-233000</v>
      </c>
      <c r="W12" s="372">
        <f t="shared" si="0"/>
        <v>1923000</v>
      </c>
      <c r="X12" s="372">
        <f t="shared" si="0"/>
        <v>0</v>
      </c>
      <c r="Y12" s="372">
        <f t="shared" si="0"/>
        <v>1298000</v>
      </c>
      <c r="Z12" s="372">
        <f t="shared" si="1"/>
        <v>719000</v>
      </c>
      <c r="AA12" s="372">
        <f t="shared" si="2"/>
        <v>728000</v>
      </c>
      <c r="AB12" s="372">
        <f t="shared" si="3"/>
        <v>-821000</v>
      </c>
      <c r="AC12" s="372">
        <f t="shared" si="6"/>
        <v>5568000</v>
      </c>
      <c r="AD12" s="372">
        <f t="shared" si="6"/>
        <v>-1856000</v>
      </c>
      <c r="AE12" s="373">
        <f t="shared" si="6"/>
        <v>7351000</v>
      </c>
      <c r="AF12" s="373">
        <f t="shared" si="6"/>
        <v>-2451000</v>
      </c>
      <c r="AG12" s="376">
        <f t="shared" si="7"/>
        <v>17587000</v>
      </c>
      <c r="AH12" s="373">
        <f t="shared" si="8"/>
        <v>-5128000</v>
      </c>
      <c r="AI12" s="375">
        <f t="shared" si="9"/>
        <v>12459000</v>
      </c>
    </row>
    <row r="13" spans="1:35" ht="15">
      <c r="A13" s="371" t="s">
        <v>4</v>
      </c>
      <c r="B13" s="372">
        <v>-544000</v>
      </c>
      <c r="C13" s="372">
        <v>-339000</v>
      </c>
      <c r="D13" s="372">
        <v>1984000</v>
      </c>
      <c r="E13" s="372">
        <v>0</v>
      </c>
      <c r="F13" s="372">
        <v>1550000</v>
      </c>
      <c r="G13" s="372"/>
      <c r="H13" s="372">
        <v>-992000</v>
      </c>
      <c r="I13" s="372"/>
      <c r="J13" s="372">
        <v>8557000</v>
      </c>
      <c r="K13" s="372">
        <f t="shared" si="4"/>
        <v>-2852000</v>
      </c>
      <c r="L13" s="373">
        <v>11320000</v>
      </c>
      <c r="M13" s="373">
        <f t="shared" si="4"/>
        <v>-3773000</v>
      </c>
      <c r="N13" s="374">
        <v>-447000</v>
      </c>
      <c r="O13" s="372">
        <v>-54000</v>
      </c>
      <c r="P13" s="372">
        <v>54000</v>
      </c>
      <c r="Q13" s="372">
        <v>0</v>
      </c>
      <c r="R13" s="372">
        <v>-18000</v>
      </c>
      <c r="S13" s="372">
        <v>228000</v>
      </c>
      <c r="T13" s="372">
        <f t="shared" si="5"/>
        <v>-76000</v>
      </c>
      <c r="U13" s="373">
        <v>304000</v>
      </c>
      <c r="V13" s="375">
        <f t="shared" si="5"/>
        <v>-101000</v>
      </c>
      <c r="W13" s="372">
        <f t="shared" si="0"/>
        <v>-991000</v>
      </c>
      <c r="X13" s="372">
        <f t="shared" si="0"/>
        <v>-393000</v>
      </c>
      <c r="Y13" s="372">
        <f t="shared" si="0"/>
        <v>2038000</v>
      </c>
      <c r="Z13" s="372">
        <f t="shared" si="1"/>
        <v>1550000</v>
      </c>
      <c r="AA13" s="372">
        <f t="shared" si="2"/>
        <v>0</v>
      </c>
      <c r="AB13" s="372">
        <f t="shared" si="3"/>
        <v>-1010000</v>
      </c>
      <c r="AC13" s="372">
        <f t="shared" si="6"/>
        <v>8785000</v>
      </c>
      <c r="AD13" s="372">
        <f t="shared" si="6"/>
        <v>-2928000</v>
      </c>
      <c r="AE13" s="373">
        <f t="shared" si="6"/>
        <v>11624000</v>
      </c>
      <c r="AF13" s="373">
        <f t="shared" si="6"/>
        <v>-3874000</v>
      </c>
      <c r="AG13" s="376">
        <f t="shared" si="7"/>
        <v>22613000</v>
      </c>
      <c r="AH13" s="373">
        <f t="shared" si="8"/>
        <v>-7812000</v>
      </c>
      <c r="AI13" s="375">
        <f t="shared" si="9"/>
        <v>14801000</v>
      </c>
    </row>
    <row r="14" spans="1:35" ht="15">
      <c r="A14" s="371" t="s">
        <v>5</v>
      </c>
      <c r="B14" s="372">
        <v>-1338000</v>
      </c>
      <c r="C14" s="372">
        <v>-2355000</v>
      </c>
      <c r="D14" s="372">
        <v>3225000</v>
      </c>
      <c r="E14" s="372">
        <v>0</v>
      </c>
      <c r="F14" s="372">
        <v>6912000</v>
      </c>
      <c r="G14" s="372"/>
      <c r="H14" s="372">
        <v>-2430000</v>
      </c>
      <c r="I14" s="372"/>
      <c r="J14" s="372">
        <v>14347000</v>
      </c>
      <c r="K14" s="372">
        <f t="shared" si="4"/>
        <v>-4782000</v>
      </c>
      <c r="L14" s="373">
        <v>18976000</v>
      </c>
      <c r="M14" s="373">
        <f t="shared" si="4"/>
        <v>-6325000</v>
      </c>
      <c r="N14" s="374">
        <v>-446000</v>
      </c>
      <c r="O14" s="372">
        <v>-282000</v>
      </c>
      <c r="P14" s="372">
        <v>110000</v>
      </c>
      <c r="Q14" s="372">
        <v>0</v>
      </c>
      <c r="R14" s="372">
        <v>-37000</v>
      </c>
      <c r="S14" s="372">
        <v>472000</v>
      </c>
      <c r="T14" s="372">
        <f t="shared" si="5"/>
        <v>-157000</v>
      </c>
      <c r="U14" s="373">
        <v>619000</v>
      </c>
      <c r="V14" s="375">
        <f t="shared" si="5"/>
        <v>-206000</v>
      </c>
      <c r="W14" s="372">
        <f t="shared" si="0"/>
        <v>-1784000</v>
      </c>
      <c r="X14" s="372">
        <f t="shared" si="0"/>
        <v>-2637000</v>
      </c>
      <c r="Y14" s="372">
        <f t="shared" si="0"/>
        <v>3335000</v>
      </c>
      <c r="Z14" s="372">
        <f t="shared" si="1"/>
        <v>6912000</v>
      </c>
      <c r="AA14" s="372">
        <f t="shared" si="2"/>
        <v>0</v>
      </c>
      <c r="AB14" s="372">
        <f t="shared" si="3"/>
        <v>-2467000</v>
      </c>
      <c r="AC14" s="372">
        <f t="shared" si="6"/>
        <v>14819000</v>
      </c>
      <c r="AD14" s="372">
        <f t="shared" si="6"/>
        <v>-4939000</v>
      </c>
      <c r="AE14" s="373">
        <f t="shared" si="6"/>
        <v>19595000</v>
      </c>
      <c r="AF14" s="373">
        <f t="shared" si="6"/>
        <v>-6531000</v>
      </c>
      <c r="AG14" s="376">
        <f t="shared" si="7"/>
        <v>40240000</v>
      </c>
      <c r="AH14" s="373">
        <f t="shared" si="8"/>
        <v>-13937000</v>
      </c>
      <c r="AI14" s="375">
        <f t="shared" si="9"/>
        <v>26303000</v>
      </c>
    </row>
    <row r="15" spans="1:35" ht="15">
      <c r="A15" s="371" t="s">
        <v>6</v>
      </c>
      <c r="B15" s="372">
        <v>-654000</v>
      </c>
      <c r="C15" s="372">
        <v>0</v>
      </c>
      <c r="D15" s="372">
        <v>724000</v>
      </c>
      <c r="E15" s="372">
        <v>0</v>
      </c>
      <c r="F15" s="372">
        <v>871000</v>
      </c>
      <c r="G15" s="372"/>
      <c r="H15" s="372">
        <v>-438000</v>
      </c>
      <c r="I15" s="372"/>
      <c r="J15" s="372">
        <v>3143000</v>
      </c>
      <c r="K15" s="372">
        <f t="shared" si="4"/>
        <v>-1048000</v>
      </c>
      <c r="L15" s="373">
        <v>4163000</v>
      </c>
      <c r="M15" s="373">
        <f t="shared" si="4"/>
        <v>-1388000</v>
      </c>
      <c r="N15" s="374">
        <v>-25000</v>
      </c>
      <c r="O15" s="372">
        <v>0</v>
      </c>
      <c r="P15" s="372">
        <v>26000</v>
      </c>
      <c r="Q15" s="372">
        <v>0</v>
      </c>
      <c r="R15" s="372">
        <v>-9000</v>
      </c>
      <c r="S15" s="372">
        <v>115000</v>
      </c>
      <c r="T15" s="372">
        <f t="shared" si="5"/>
        <v>-38000</v>
      </c>
      <c r="U15" s="373">
        <v>154000</v>
      </c>
      <c r="V15" s="375">
        <f t="shared" si="5"/>
        <v>-51000</v>
      </c>
      <c r="W15" s="372">
        <f t="shared" si="0"/>
        <v>-679000</v>
      </c>
      <c r="X15" s="372">
        <f t="shared" si="0"/>
        <v>0</v>
      </c>
      <c r="Y15" s="372">
        <f t="shared" si="0"/>
        <v>750000</v>
      </c>
      <c r="Z15" s="372">
        <f t="shared" si="1"/>
        <v>871000</v>
      </c>
      <c r="AA15" s="372">
        <f t="shared" si="2"/>
        <v>0</v>
      </c>
      <c r="AB15" s="372">
        <f t="shared" si="3"/>
        <v>-447000</v>
      </c>
      <c r="AC15" s="372">
        <f t="shared" si="6"/>
        <v>3258000</v>
      </c>
      <c r="AD15" s="372">
        <f t="shared" si="6"/>
        <v>-1086000</v>
      </c>
      <c r="AE15" s="373">
        <f t="shared" si="6"/>
        <v>4317000</v>
      </c>
      <c r="AF15" s="373">
        <f t="shared" si="6"/>
        <v>-1439000</v>
      </c>
      <c r="AG15" s="376">
        <f t="shared" si="7"/>
        <v>8517000</v>
      </c>
      <c r="AH15" s="373">
        <f t="shared" si="8"/>
        <v>-2972000</v>
      </c>
      <c r="AI15" s="375">
        <f t="shared" si="9"/>
        <v>5545000</v>
      </c>
    </row>
    <row r="16" spans="1:35" ht="15">
      <c r="A16" s="371" t="s">
        <v>7</v>
      </c>
      <c r="B16" s="372">
        <v>610000</v>
      </c>
      <c r="C16" s="372">
        <v>-3026000</v>
      </c>
      <c r="D16" s="372">
        <v>3241000</v>
      </c>
      <c r="E16" s="372">
        <v>0</v>
      </c>
      <c r="F16" s="372">
        <v>2229000</v>
      </c>
      <c r="G16" s="372"/>
      <c r="H16" s="372">
        <v>-1527000</v>
      </c>
      <c r="I16" s="372"/>
      <c r="J16" s="372">
        <v>13944000</v>
      </c>
      <c r="K16" s="372">
        <f t="shared" si="4"/>
        <v>-4648000</v>
      </c>
      <c r="L16" s="373">
        <v>18437000</v>
      </c>
      <c r="M16" s="373">
        <f t="shared" si="4"/>
        <v>-6146000</v>
      </c>
      <c r="N16" s="374">
        <v>-764000</v>
      </c>
      <c r="O16" s="372">
        <v>-395000</v>
      </c>
      <c r="P16" s="372">
        <v>138000</v>
      </c>
      <c r="Q16" s="372">
        <v>0</v>
      </c>
      <c r="R16" s="372">
        <v>-46000</v>
      </c>
      <c r="S16" s="372">
        <v>582000</v>
      </c>
      <c r="T16" s="372">
        <f t="shared" si="5"/>
        <v>-194000</v>
      </c>
      <c r="U16" s="373">
        <v>768000</v>
      </c>
      <c r="V16" s="375">
        <f t="shared" si="5"/>
        <v>-256000</v>
      </c>
      <c r="W16" s="372">
        <f t="shared" si="0"/>
        <v>-154000</v>
      </c>
      <c r="X16" s="372">
        <f t="shared" si="0"/>
        <v>-3421000</v>
      </c>
      <c r="Y16" s="372">
        <f t="shared" si="0"/>
        <v>3379000</v>
      </c>
      <c r="Z16" s="372">
        <f t="shared" si="1"/>
        <v>2229000</v>
      </c>
      <c r="AA16" s="372">
        <f t="shared" si="2"/>
        <v>0</v>
      </c>
      <c r="AB16" s="372">
        <f t="shared" si="3"/>
        <v>-1573000</v>
      </c>
      <c r="AC16" s="372">
        <f t="shared" si="6"/>
        <v>14526000</v>
      </c>
      <c r="AD16" s="372">
        <f t="shared" si="6"/>
        <v>-4842000</v>
      </c>
      <c r="AE16" s="373">
        <f t="shared" si="6"/>
        <v>19205000</v>
      </c>
      <c r="AF16" s="373">
        <f t="shared" si="6"/>
        <v>-6402000</v>
      </c>
      <c r="AG16" s="376">
        <f t="shared" si="7"/>
        <v>35764000</v>
      </c>
      <c r="AH16" s="373">
        <f t="shared" si="8"/>
        <v>-12817000</v>
      </c>
      <c r="AI16" s="375">
        <f t="shared" si="9"/>
        <v>22947000</v>
      </c>
    </row>
    <row r="17" spans="1:35" ht="15">
      <c r="A17" s="371" t="s">
        <v>8</v>
      </c>
      <c r="B17" s="372">
        <v>256000</v>
      </c>
      <c r="C17" s="372">
        <v>0</v>
      </c>
      <c r="D17" s="372">
        <v>1807000</v>
      </c>
      <c r="E17" s="372">
        <v>1082000</v>
      </c>
      <c r="F17" s="372">
        <v>1225000</v>
      </c>
      <c r="G17" s="372"/>
      <c r="H17" s="372">
        <v>-1195000</v>
      </c>
      <c r="I17" s="372"/>
      <c r="J17" s="372">
        <v>7759000</v>
      </c>
      <c r="K17" s="372">
        <f>-ROUND((J17/3)/1000,0)*1000-1000</f>
        <v>-2587000</v>
      </c>
      <c r="L17" s="373">
        <v>10238000</v>
      </c>
      <c r="M17" s="373">
        <f>-ROUND((L17/3)/1000,0)*1000</f>
        <v>-3413000</v>
      </c>
      <c r="N17" s="374">
        <v>-731000</v>
      </c>
      <c r="O17" s="372">
        <v>0</v>
      </c>
      <c r="P17" s="372">
        <v>102000</v>
      </c>
      <c r="Q17" s="372">
        <v>50000</v>
      </c>
      <c r="R17" s="372">
        <v>-51000</v>
      </c>
      <c r="S17" s="372">
        <v>428000</v>
      </c>
      <c r="T17" s="372">
        <f>-ROUND(S17/3,-3)</f>
        <v>-143000</v>
      </c>
      <c r="U17" s="373">
        <v>565000</v>
      </c>
      <c r="V17" s="375">
        <f>-ROUND(U17/3,-3)</f>
        <v>-188000</v>
      </c>
      <c r="W17" s="372">
        <f t="shared" si="0"/>
        <v>-475000</v>
      </c>
      <c r="X17" s="372">
        <f t="shared" si="0"/>
        <v>0</v>
      </c>
      <c r="Y17" s="372">
        <f t="shared" si="0"/>
        <v>1909000</v>
      </c>
      <c r="Z17" s="372">
        <f t="shared" si="1"/>
        <v>1225000</v>
      </c>
      <c r="AA17" s="372">
        <f t="shared" si="2"/>
        <v>1132000</v>
      </c>
      <c r="AB17" s="372">
        <f t="shared" si="3"/>
        <v>-1246000</v>
      </c>
      <c r="AC17" s="372">
        <f t="shared" si="6"/>
        <v>8187000</v>
      </c>
      <c r="AD17" s="372">
        <f t="shared" si="6"/>
        <v>-2730000</v>
      </c>
      <c r="AE17" s="373">
        <f t="shared" si="6"/>
        <v>10803000</v>
      </c>
      <c r="AF17" s="373">
        <f t="shared" si="6"/>
        <v>-3601000</v>
      </c>
      <c r="AG17" s="376">
        <f t="shared" si="7"/>
        <v>22781000</v>
      </c>
      <c r="AH17" s="373">
        <f t="shared" si="8"/>
        <v>-7577000</v>
      </c>
      <c r="AI17" s="375">
        <f t="shared" si="9"/>
        <v>15204000</v>
      </c>
    </row>
    <row r="18" spans="1:35" ht="15">
      <c r="A18" s="371" t="s">
        <v>9</v>
      </c>
      <c r="B18" s="372">
        <v>-66000</v>
      </c>
      <c r="C18" s="372">
        <v>0</v>
      </c>
      <c r="D18" s="372">
        <v>74000</v>
      </c>
      <c r="E18" s="372">
        <v>0</v>
      </c>
      <c r="F18" s="372">
        <v>255000</v>
      </c>
      <c r="G18" s="372"/>
      <c r="H18" s="372">
        <v>-105000</v>
      </c>
      <c r="I18" s="372"/>
      <c r="J18" s="372">
        <v>339000</v>
      </c>
      <c r="K18" s="372">
        <f t="shared" si="4"/>
        <v>-113000</v>
      </c>
      <c r="L18" s="373">
        <v>453000</v>
      </c>
      <c r="M18" s="373">
        <f t="shared" si="4"/>
        <v>-151000</v>
      </c>
      <c r="N18" s="374">
        <v>-70000</v>
      </c>
      <c r="O18" s="372">
        <v>0</v>
      </c>
      <c r="P18" s="372">
        <v>2000</v>
      </c>
      <c r="Q18" s="372">
        <v>0</v>
      </c>
      <c r="R18" s="372">
        <v>-1000</v>
      </c>
      <c r="S18" s="372">
        <v>11000</v>
      </c>
      <c r="T18" s="372">
        <f t="shared" si="5"/>
        <v>-4000</v>
      </c>
      <c r="U18" s="373">
        <v>14000</v>
      </c>
      <c r="V18" s="375">
        <f t="shared" si="5"/>
        <v>-5000</v>
      </c>
      <c r="W18" s="372">
        <f t="shared" si="0"/>
        <v>-136000</v>
      </c>
      <c r="X18" s="372">
        <f t="shared" si="0"/>
        <v>0</v>
      </c>
      <c r="Y18" s="372">
        <f t="shared" si="0"/>
        <v>76000</v>
      </c>
      <c r="Z18" s="372">
        <f t="shared" si="1"/>
        <v>255000</v>
      </c>
      <c r="AA18" s="372">
        <f t="shared" si="2"/>
        <v>0</v>
      </c>
      <c r="AB18" s="372">
        <f t="shared" si="3"/>
        <v>-106000</v>
      </c>
      <c r="AC18" s="372">
        <f t="shared" si="6"/>
        <v>350000</v>
      </c>
      <c r="AD18" s="372">
        <f t="shared" si="6"/>
        <v>-117000</v>
      </c>
      <c r="AE18" s="373">
        <f t="shared" si="6"/>
        <v>467000</v>
      </c>
      <c r="AF18" s="373">
        <f t="shared" si="6"/>
        <v>-156000</v>
      </c>
      <c r="AG18" s="376">
        <f t="shared" si="7"/>
        <v>1012000</v>
      </c>
      <c r="AH18" s="373">
        <f t="shared" si="8"/>
        <v>-379000</v>
      </c>
      <c r="AI18" s="375">
        <f t="shared" si="9"/>
        <v>633000</v>
      </c>
    </row>
    <row r="19" spans="1:35" ht="15">
      <c r="A19" s="371" t="s">
        <v>10</v>
      </c>
      <c r="B19" s="372">
        <v>-588000</v>
      </c>
      <c r="C19" s="372">
        <v>0</v>
      </c>
      <c r="D19" s="372">
        <v>408000</v>
      </c>
      <c r="E19" s="372">
        <v>0</v>
      </c>
      <c r="F19" s="372">
        <v>2706000</v>
      </c>
      <c r="G19" s="372"/>
      <c r="H19" s="372">
        <v>-773000</v>
      </c>
      <c r="I19" s="372"/>
      <c r="J19" s="372">
        <v>1989000</v>
      </c>
      <c r="K19" s="372">
        <f t="shared" si="4"/>
        <v>-663000</v>
      </c>
      <c r="L19" s="373">
        <v>2633000</v>
      </c>
      <c r="M19" s="373">
        <f t="shared" si="4"/>
        <v>-878000</v>
      </c>
      <c r="N19" s="374">
        <v>-209000</v>
      </c>
      <c r="O19" s="372">
        <v>0</v>
      </c>
      <c r="P19" s="372">
        <v>9000</v>
      </c>
      <c r="Q19" s="372">
        <v>0</v>
      </c>
      <c r="R19" s="372">
        <v>-3000</v>
      </c>
      <c r="S19" s="372">
        <v>38000</v>
      </c>
      <c r="T19" s="372">
        <f t="shared" si="5"/>
        <v>-13000</v>
      </c>
      <c r="U19" s="373">
        <v>52000</v>
      </c>
      <c r="V19" s="375">
        <f t="shared" si="5"/>
        <v>-17000</v>
      </c>
      <c r="W19" s="372">
        <f t="shared" si="0"/>
        <v>-797000</v>
      </c>
      <c r="X19" s="372">
        <f t="shared" si="0"/>
        <v>0</v>
      </c>
      <c r="Y19" s="372">
        <f t="shared" si="0"/>
        <v>417000</v>
      </c>
      <c r="Z19" s="372">
        <f t="shared" si="1"/>
        <v>2706000</v>
      </c>
      <c r="AA19" s="372">
        <f t="shared" si="2"/>
        <v>0</v>
      </c>
      <c r="AB19" s="372">
        <f t="shared" si="3"/>
        <v>-776000</v>
      </c>
      <c r="AC19" s="372">
        <f t="shared" si="6"/>
        <v>2027000</v>
      </c>
      <c r="AD19" s="372">
        <f t="shared" si="6"/>
        <v>-676000</v>
      </c>
      <c r="AE19" s="373">
        <f t="shared" si="6"/>
        <v>2685000</v>
      </c>
      <c r="AF19" s="373">
        <f t="shared" si="6"/>
        <v>-895000</v>
      </c>
      <c r="AG19" s="376">
        <f t="shared" si="7"/>
        <v>7038000</v>
      </c>
      <c r="AH19" s="373">
        <f t="shared" si="8"/>
        <v>-2347000</v>
      </c>
      <c r="AI19" s="375">
        <f t="shared" si="9"/>
        <v>4691000</v>
      </c>
    </row>
    <row r="20" spans="1:35" ht="15">
      <c r="A20" s="371" t="s">
        <v>11</v>
      </c>
      <c r="B20" s="372">
        <v>627000</v>
      </c>
      <c r="C20" s="372">
        <v>-1754000</v>
      </c>
      <c r="D20" s="372">
        <v>3063000</v>
      </c>
      <c r="E20" s="372">
        <v>0</v>
      </c>
      <c r="F20" s="372">
        <v>5669000</v>
      </c>
      <c r="G20" s="372"/>
      <c r="H20" s="372">
        <v>-2129000</v>
      </c>
      <c r="I20" s="372"/>
      <c r="J20" s="372">
        <v>13533000</v>
      </c>
      <c r="K20" s="372">
        <f t="shared" si="4"/>
        <v>-4511000</v>
      </c>
      <c r="L20" s="373">
        <v>17898000</v>
      </c>
      <c r="M20" s="373">
        <f t="shared" si="4"/>
        <v>-5966000</v>
      </c>
      <c r="N20" s="374">
        <v>-43000</v>
      </c>
      <c r="O20" s="372">
        <v>-353000</v>
      </c>
      <c r="P20" s="372">
        <v>191000</v>
      </c>
      <c r="Q20" s="372">
        <v>0</v>
      </c>
      <c r="R20" s="372">
        <v>-64000</v>
      </c>
      <c r="S20" s="372">
        <v>810000</v>
      </c>
      <c r="T20" s="372">
        <f t="shared" si="5"/>
        <v>-270000</v>
      </c>
      <c r="U20" s="373">
        <v>1074000</v>
      </c>
      <c r="V20" s="375">
        <f t="shared" si="5"/>
        <v>-358000</v>
      </c>
      <c r="W20" s="372">
        <f t="shared" si="0"/>
        <v>584000</v>
      </c>
      <c r="X20" s="372">
        <f t="shared" si="0"/>
        <v>-2107000</v>
      </c>
      <c r="Y20" s="372">
        <f t="shared" si="0"/>
        <v>3254000</v>
      </c>
      <c r="Z20" s="372">
        <f t="shared" si="1"/>
        <v>5669000</v>
      </c>
      <c r="AA20" s="372">
        <f t="shared" si="2"/>
        <v>0</v>
      </c>
      <c r="AB20" s="372">
        <f t="shared" si="3"/>
        <v>-2193000</v>
      </c>
      <c r="AC20" s="372">
        <f t="shared" si="6"/>
        <v>14343000</v>
      </c>
      <c r="AD20" s="372">
        <f t="shared" si="6"/>
        <v>-4781000</v>
      </c>
      <c r="AE20" s="373">
        <f t="shared" si="6"/>
        <v>18972000</v>
      </c>
      <c r="AF20" s="373">
        <f t="shared" si="6"/>
        <v>-6324000</v>
      </c>
      <c r="AG20" s="376">
        <f t="shared" si="7"/>
        <v>40715000</v>
      </c>
      <c r="AH20" s="373">
        <f t="shared" si="8"/>
        <v>-13298000</v>
      </c>
      <c r="AI20" s="375">
        <f t="shared" si="9"/>
        <v>27417000</v>
      </c>
    </row>
    <row r="21" spans="1:35" ht="15">
      <c r="A21" s="371" t="s">
        <v>12</v>
      </c>
      <c r="B21" s="372">
        <v>-22000</v>
      </c>
      <c r="C21" s="372">
        <v>154000</v>
      </c>
      <c r="D21" s="372">
        <v>2055000</v>
      </c>
      <c r="E21" s="372">
        <v>0</v>
      </c>
      <c r="F21" s="372">
        <v>1285000</v>
      </c>
      <c r="G21" s="372"/>
      <c r="H21" s="372">
        <v>-945000</v>
      </c>
      <c r="I21" s="372"/>
      <c r="J21" s="372">
        <v>8815000</v>
      </c>
      <c r="K21" s="372">
        <f t="shared" si="4"/>
        <v>-2938000</v>
      </c>
      <c r="L21" s="373">
        <v>11666000</v>
      </c>
      <c r="M21" s="373">
        <f t="shared" si="4"/>
        <v>-3889000</v>
      </c>
      <c r="N21" s="374">
        <v>-807000</v>
      </c>
      <c r="O21" s="372">
        <v>-1000</v>
      </c>
      <c r="P21" s="372">
        <v>75000</v>
      </c>
      <c r="Q21" s="372">
        <v>0</v>
      </c>
      <c r="R21" s="372">
        <v>-25000</v>
      </c>
      <c r="S21" s="372">
        <v>320000</v>
      </c>
      <c r="T21" s="372">
        <f t="shared" si="5"/>
        <v>-107000</v>
      </c>
      <c r="U21" s="373">
        <v>422000</v>
      </c>
      <c r="V21" s="375">
        <f t="shared" si="5"/>
        <v>-141000</v>
      </c>
      <c r="W21" s="372">
        <f t="shared" si="0"/>
        <v>-829000</v>
      </c>
      <c r="X21" s="372">
        <f t="shared" si="0"/>
        <v>153000</v>
      </c>
      <c r="Y21" s="372">
        <f t="shared" si="0"/>
        <v>2130000</v>
      </c>
      <c r="Z21" s="372">
        <f t="shared" si="1"/>
        <v>1285000</v>
      </c>
      <c r="AA21" s="372">
        <f t="shared" si="2"/>
        <v>0</v>
      </c>
      <c r="AB21" s="372">
        <f t="shared" si="3"/>
        <v>-970000</v>
      </c>
      <c r="AC21" s="372">
        <f t="shared" si="6"/>
        <v>9135000</v>
      </c>
      <c r="AD21" s="372">
        <f t="shared" si="6"/>
        <v>-3045000</v>
      </c>
      <c r="AE21" s="373">
        <f t="shared" si="6"/>
        <v>12088000</v>
      </c>
      <c r="AF21" s="373">
        <f t="shared" si="6"/>
        <v>-4030000</v>
      </c>
      <c r="AG21" s="376">
        <f t="shared" si="7"/>
        <v>23962000</v>
      </c>
      <c r="AH21" s="373">
        <f t="shared" si="8"/>
        <v>-8045000</v>
      </c>
      <c r="AI21" s="375">
        <f t="shared" si="9"/>
        <v>15917000</v>
      </c>
    </row>
    <row r="22" spans="1:35" ht="15">
      <c r="A22" s="371" t="s">
        <v>13</v>
      </c>
      <c r="B22" s="372">
        <v>-345000</v>
      </c>
      <c r="C22" s="372">
        <v>-705000</v>
      </c>
      <c r="D22" s="372">
        <v>2552000</v>
      </c>
      <c r="E22" s="372">
        <v>0</v>
      </c>
      <c r="F22" s="372">
        <v>0</v>
      </c>
      <c r="G22" s="372"/>
      <c r="H22" s="372">
        <v>-851000</v>
      </c>
      <c r="I22" s="372"/>
      <c r="J22" s="372">
        <v>10792000</v>
      </c>
      <c r="K22" s="372">
        <f t="shared" si="4"/>
        <v>-3597000</v>
      </c>
      <c r="L22" s="373">
        <v>14279000</v>
      </c>
      <c r="M22" s="373">
        <f t="shared" si="4"/>
        <v>-4760000</v>
      </c>
      <c r="N22" s="374">
        <v>81000</v>
      </c>
      <c r="O22" s="372">
        <v>-103000</v>
      </c>
      <c r="P22" s="372">
        <v>68000</v>
      </c>
      <c r="Q22" s="372">
        <v>0</v>
      </c>
      <c r="R22" s="372">
        <v>-23000</v>
      </c>
      <c r="S22" s="372">
        <v>287000</v>
      </c>
      <c r="T22" s="372">
        <f t="shared" si="5"/>
        <v>-96000</v>
      </c>
      <c r="U22" s="373">
        <v>380000</v>
      </c>
      <c r="V22" s="375">
        <f t="shared" si="5"/>
        <v>-127000</v>
      </c>
      <c r="W22" s="372">
        <f t="shared" si="0"/>
        <v>-264000</v>
      </c>
      <c r="X22" s="372">
        <f t="shared" si="0"/>
        <v>-808000</v>
      </c>
      <c r="Y22" s="372">
        <f t="shared" si="0"/>
        <v>2620000</v>
      </c>
      <c r="Z22" s="372">
        <f t="shared" si="1"/>
        <v>0</v>
      </c>
      <c r="AA22" s="372">
        <f t="shared" si="2"/>
        <v>0</v>
      </c>
      <c r="AB22" s="372">
        <f t="shared" si="3"/>
        <v>-874000</v>
      </c>
      <c r="AC22" s="372">
        <f t="shared" si="6"/>
        <v>11079000</v>
      </c>
      <c r="AD22" s="372">
        <f t="shared" si="6"/>
        <v>-3693000</v>
      </c>
      <c r="AE22" s="373">
        <f t="shared" si="6"/>
        <v>14659000</v>
      </c>
      <c r="AF22" s="373">
        <f t="shared" si="6"/>
        <v>-4887000</v>
      </c>
      <c r="AG22" s="376">
        <f t="shared" si="7"/>
        <v>27286000</v>
      </c>
      <c r="AH22" s="373">
        <f t="shared" si="8"/>
        <v>-9454000</v>
      </c>
      <c r="AI22" s="375">
        <f t="shared" si="9"/>
        <v>17832000</v>
      </c>
    </row>
    <row r="23" spans="1:35" ht="15">
      <c r="A23" s="371" t="s">
        <v>14</v>
      </c>
      <c r="B23" s="372">
        <v>-535000</v>
      </c>
      <c r="C23" s="372">
        <v>-946000</v>
      </c>
      <c r="D23" s="372">
        <v>1657000</v>
      </c>
      <c r="E23" s="372">
        <v>0</v>
      </c>
      <c r="F23" s="372">
        <v>894000</v>
      </c>
      <c r="G23" s="372"/>
      <c r="H23" s="372">
        <v>-734000</v>
      </c>
      <c r="I23" s="372"/>
      <c r="J23" s="372">
        <v>7093000</v>
      </c>
      <c r="K23" s="372">
        <f t="shared" si="4"/>
        <v>-2364000</v>
      </c>
      <c r="L23" s="373">
        <v>9380000</v>
      </c>
      <c r="M23" s="373">
        <f t="shared" si="4"/>
        <v>-3127000</v>
      </c>
      <c r="N23" s="374">
        <v>192000</v>
      </c>
      <c r="O23" s="372">
        <v>-247000</v>
      </c>
      <c r="P23" s="372">
        <v>63000</v>
      </c>
      <c r="Q23" s="372">
        <v>0</v>
      </c>
      <c r="R23" s="372">
        <v>-21000</v>
      </c>
      <c r="S23" s="372">
        <v>257000</v>
      </c>
      <c r="T23" s="372">
        <f t="shared" si="5"/>
        <v>-86000</v>
      </c>
      <c r="U23" s="373">
        <v>341000</v>
      </c>
      <c r="V23" s="375">
        <f t="shared" si="5"/>
        <v>-114000</v>
      </c>
      <c r="W23" s="372">
        <f t="shared" si="0"/>
        <v>-343000</v>
      </c>
      <c r="X23" s="372">
        <f t="shared" si="0"/>
        <v>-1193000</v>
      </c>
      <c r="Y23" s="372">
        <f t="shared" si="0"/>
        <v>1720000</v>
      </c>
      <c r="Z23" s="372">
        <f t="shared" si="1"/>
        <v>894000</v>
      </c>
      <c r="AA23" s="372">
        <f t="shared" si="2"/>
        <v>0</v>
      </c>
      <c r="AB23" s="372">
        <f t="shared" si="3"/>
        <v>-755000</v>
      </c>
      <c r="AC23" s="372">
        <f t="shared" si="6"/>
        <v>7350000</v>
      </c>
      <c r="AD23" s="372">
        <f t="shared" si="6"/>
        <v>-2450000</v>
      </c>
      <c r="AE23" s="373">
        <f t="shared" si="6"/>
        <v>9721000</v>
      </c>
      <c r="AF23" s="373">
        <f t="shared" si="6"/>
        <v>-3241000</v>
      </c>
      <c r="AG23" s="376">
        <f t="shared" si="7"/>
        <v>18149000</v>
      </c>
      <c r="AH23" s="373">
        <f t="shared" si="8"/>
        <v>-6446000</v>
      </c>
      <c r="AI23" s="375">
        <f t="shared" si="9"/>
        <v>11703000</v>
      </c>
    </row>
    <row r="24" spans="1:35" ht="15">
      <c r="A24" s="371" t="s">
        <v>15</v>
      </c>
      <c r="B24" s="372">
        <v>342000</v>
      </c>
      <c r="C24" s="372">
        <v>0</v>
      </c>
      <c r="D24" s="372">
        <v>2856000</v>
      </c>
      <c r="E24" s="372">
        <v>1008000</v>
      </c>
      <c r="F24" s="372">
        <v>-3733000</v>
      </c>
      <c r="G24" s="372"/>
      <c r="H24" s="372">
        <v>-517000</v>
      </c>
      <c r="I24" s="372"/>
      <c r="J24" s="372">
        <v>11716000</v>
      </c>
      <c r="K24" s="372">
        <f t="shared" si="4"/>
        <v>-3905000</v>
      </c>
      <c r="L24" s="373">
        <v>15526000</v>
      </c>
      <c r="M24" s="373">
        <f t="shared" si="4"/>
        <v>-5175000</v>
      </c>
      <c r="N24" s="374">
        <v>-429000</v>
      </c>
      <c r="O24" s="372">
        <v>0</v>
      </c>
      <c r="P24" s="372">
        <v>212000</v>
      </c>
      <c r="Q24" s="372">
        <v>66000</v>
      </c>
      <c r="R24" s="372">
        <v>-93000</v>
      </c>
      <c r="S24" s="372">
        <v>893000</v>
      </c>
      <c r="T24" s="372">
        <f t="shared" si="5"/>
        <v>-298000</v>
      </c>
      <c r="U24" s="373">
        <v>1181000</v>
      </c>
      <c r="V24" s="375">
        <f t="shared" si="5"/>
        <v>-394000</v>
      </c>
      <c r="W24" s="372">
        <f t="shared" si="0"/>
        <v>-87000</v>
      </c>
      <c r="X24" s="372">
        <f t="shared" si="0"/>
        <v>0</v>
      </c>
      <c r="Y24" s="372">
        <f t="shared" si="0"/>
        <v>3068000</v>
      </c>
      <c r="Z24" s="372">
        <f t="shared" si="1"/>
        <v>-3733000</v>
      </c>
      <c r="AA24" s="372">
        <f t="shared" si="2"/>
        <v>1074000</v>
      </c>
      <c r="AB24" s="372">
        <f t="shared" si="3"/>
        <v>-610000</v>
      </c>
      <c r="AC24" s="372">
        <f t="shared" si="6"/>
        <v>12609000</v>
      </c>
      <c r="AD24" s="372">
        <f t="shared" si="6"/>
        <v>-4203000</v>
      </c>
      <c r="AE24" s="373">
        <f t="shared" si="6"/>
        <v>16707000</v>
      </c>
      <c r="AF24" s="373">
        <f t="shared" si="6"/>
        <v>-5569000</v>
      </c>
      <c r="AG24" s="376">
        <f t="shared" si="7"/>
        <v>29638000</v>
      </c>
      <c r="AH24" s="373">
        <f t="shared" si="8"/>
        <v>-10382000</v>
      </c>
      <c r="AI24" s="375">
        <f t="shared" si="9"/>
        <v>19256000</v>
      </c>
    </row>
    <row r="25" spans="1:35" ht="15">
      <c r="A25" s="371" t="s">
        <v>16</v>
      </c>
      <c r="B25" s="372">
        <v>509000</v>
      </c>
      <c r="C25" s="372">
        <v>-2340000</v>
      </c>
      <c r="D25" s="372">
        <v>2633000</v>
      </c>
      <c r="E25" s="372">
        <v>0</v>
      </c>
      <c r="F25" s="372">
        <v>4005000</v>
      </c>
      <c r="G25" s="372"/>
      <c r="H25" s="372">
        <v>-1680000</v>
      </c>
      <c r="I25" s="372"/>
      <c r="J25" s="372">
        <v>11550000</v>
      </c>
      <c r="K25" s="372">
        <f t="shared" si="4"/>
        <v>-3850000</v>
      </c>
      <c r="L25" s="373">
        <v>15279000</v>
      </c>
      <c r="M25" s="373">
        <f t="shared" si="4"/>
        <v>-5093000</v>
      </c>
      <c r="N25" s="374">
        <v>-317000</v>
      </c>
      <c r="O25" s="372">
        <v>-812000</v>
      </c>
      <c r="P25" s="372">
        <v>209000</v>
      </c>
      <c r="Q25" s="372">
        <v>0</v>
      </c>
      <c r="R25" s="372">
        <v>-70000</v>
      </c>
      <c r="S25" s="372">
        <v>885000</v>
      </c>
      <c r="T25" s="372">
        <f>-ROUND(S25/3,-3)+1000</f>
        <v>-294000</v>
      </c>
      <c r="U25" s="373">
        <v>1171000</v>
      </c>
      <c r="V25" s="375">
        <f>-ROUND(U25/3,-3)</f>
        <v>-390000</v>
      </c>
      <c r="W25" s="372">
        <f t="shared" si="0"/>
        <v>192000</v>
      </c>
      <c r="X25" s="372">
        <f t="shared" si="0"/>
        <v>-3152000</v>
      </c>
      <c r="Y25" s="372">
        <f t="shared" si="0"/>
        <v>2842000</v>
      </c>
      <c r="Z25" s="372">
        <f t="shared" si="1"/>
        <v>4005000</v>
      </c>
      <c r="AA25" s="372">
        <f t="shared" si="2"/>
        <v>0</v>
      </c>
      <c r="AB25" s="372">
        <f t="shared" si="3"/>
        <v>-1750000</v>
      </c>
      <c r="AC25" s="372">
        <f t="shared" si="6"/>
        <v>12435000</v>
      </c>
      <c r="AD25" s="372">
        <f t="shared" si="6"/>
        <v>-4144000</v>
      </c>
      <c r="AE25" s="373">
        <f t="shared" si="6"/>
        <v>16450000</v>
      </c>
      <c r="AF25" s="373">
        <f t="shared" si="6"/>
        <v>-5483000</v>
      </c>
      <c r="AG25" s="376">
        <f t="shared" si="7"/>
        <v>32772000</v>
      </c>
      <c r="AH25" s="373">
        <f t="shared" si="8"/>
        <v>-11377000</v>
      </c>
      <c r="AI25" s="375">
        <f t="shared" si="9"/>
        <v>21395000</v>
      </c>
    </row>
    <row r="26" spans="1:35" ht="15">
      <c r="A26" s="371" t="s">
        <v>17</v>
      </c>
      <c r="B26" s="372">
        <v>3473000</v>
      </c>
      <c r="C26" s="372">
        <v>-1454000</v>
      </c>
      <c r="D26" s="372">
        <v>2691000</v>
      </c>
      <c r="E26" s="372">
        <v>0</v>
      </c>
      <c r="F26" s="372">
        <v>-552000</v>
      </c>
      <c r="G26" s="372"/>
      <c r="H26" s="372">
        <v>-791000</v>
      </c>
      <c r="I26" s="372"/>
      <c r="J26" s="372">
        <v>11344000</v>
      </c>
      <c r="K26" s="372">
        <f t="shared" si="4"/>
        <v>-3781000</v>
      </c>
      <c r="L26" s="373">
        <v>14995000</v>
      </c>
      <c r="M26" s="373">
        <f t="shared" si="4"/>
        <v>-4998000</v>
      </c>
      <c r="N26" s="374">
        <v>-1822000</v>
      </c>
      <c r="O26" s="372">
        <v>-432000</v>
      </c>
      <c r="P26" s="372">
        <v>211000</v>
      </c>
      <c r="Q26" s="372">
        <v>0</v>
      </c>
      <c r="R26" s="372">
        <v>-70000</v>
      </c>
      <c r="S26" s="372">
        <v>896000</v>
      </c>
      <c r="T26" s="372">
        <f>-ROUND(S26/3,-3)</f>
        <v>-299000</v>
      </c>
      <c r="U26" s="373">
        <v>1182000</v>
      </c>
      <c r="V26" s="375">
        <f>-ROUND(U26/3,-3)</f>
        <v>-394000</v>
      </c>
      <c r="W26" s="372">
        <f t="shared" si="0"/>
        <v>1651000</v>
      </c>
      <c r="X26" s="372">
        <f t="shared" si="0"/>
        <v>-1886000</v>
      </c>
      <c r="Y26" s="372">
        <f t="shared" si="0"/>
        <v>2902000</v>
      </c>
      <c r="Z26" s="372">
        <f t="shared" si="1"/>
        <v>-552000</v>
      </c>
      <c r="AA26" s="372">
        <f t="shared" si="2"/>
        <v>0</v>
      </c>
      <c r="AB26" s="372">
        <f t="shared" si="3"/>
        <v>-861000</v>
      </c>
      <c r="AC26" s="372">
        <f t="shared" si="6"/>
        <v>12240000</v>
      </c>
      <c r="AD26" s="372">
        <f t="shared" si="6"/>
        <v>-4080000</v>
      </c>
      <c r="AE26" s="373">
        <f t="shared" si="6"/>
        <v>16177000</v>
      </c>
      <c r="AF26" s="373">
        <f t="shared" si="6"/>
        <v>-5392000</v>
      </c>
      <c r="AG26" s="376">
        <f t="shared" si="7"/>
        <v>30532000</v>
      </c>
      <c r="AH26" s="373">
        <f t="shared" si="8"/>
        <v>-10333000</v>
      </c>
      <c r="AI26" s="375">
        <f t="shared" si="9"/>
        <v>20199000</v>
      </c>
    </row>
    <row r="27" spans="1:35" ht="15">
      <c r="A27" s="371" t="s">
        <v>18</v>
      </c>
      <c r="B27" s="372">
        <v>-1346000</v>
      </c>
      <c r="C27" s="372">
        <v>-1002000</v>
      </c>
      <c r="D27" s="372">
        <v>1761000</v>
      </c>
      <c r="E27" s="372">
        <v>0</v>
      </c>
      <c r="F27" s="372">
        <v>-2139000</v>
      </c>
      <c r="G27" s="372"/>
      <c r="H27" s="372">
        <v>-96000</v>
      </c>
      <c r="I27" s="372"/>
      <c r="J27" s="372">
        <v>7234000</v>
      </c>
      <c r="K27" s="372">
        <f>-ROUND((J27/3)/1000,0)*1000-1000</f>
        <v>-2412000</v>
      </c>
      <c r="L27" s="373">
        <v>9577000</v>
      </c>
      <c r="M27" s="373">
        <f>-ROUND((L27/3)/1000,0)*1000</f>
        <v>-3192000</v>
      </c>
      <c r="N27" s="374">
        <v>340000</v>
      </c>
      <c r="O27" s="372">
        <v>-101000</v>
      </c>
      <c r="P27" s="372">
        <v>86000</v>
      </c>
      <c r="Q27" s="372">
        <v>0</v>
      </c>
      <c r="R27" s="372">
        <v>-29000</v>
      </c>
      <c r="S27" s="372">
        <v>365000</v>
      </c>
      <c r="T27" s="372">
        <f t="shared" si="5"/>
        <v>-122000</v>
      </c>
      <c r="U27" s="373">
        <v>485000</v>
      </c>
      <c r="V27" s="375">
        <f t="shared" si="5"/>
        <v>-162000</v>
      </c>
      <c r="W27" s="372">
        <f t="shared" si="0"/>
        <v>-1006000</v>
      </c>
      <c r="X27" s="372">
        <f t="shared" si="0"/>
        <v>-1103000</v>
      </c>
      <c r="Y27" s="372">
        <f t="shared" si="0"/>
        <v>1847000</v>
      </c>
      <c r="Z27" s="372">
        <f t="shared" si="1"/>
        <v>-2139000</v>
      </c>
      <c r="AA27" s="372">
        <f t="shared" si="2"/>
        <v>0</v>
      </c>
      <c r="AB27" s="372">
        <f t="shared" si="3"/>
        <v>-125000</v>
      </c>
      <c r="AC27" s="372">
        <f t="shared" si="6"/>
        <v>7599000</v>
      </c>
      <c r="AD27" s="372">
        <f t="shared" si="6"/>
        <v>-2534000</v>
      </c>
      <c r="AE27" s="373">
        <f t="shared" si="6"/>
        <v>10062000</v>
      </c>
      <c r="AF27" s="373">
        <f t="shared" si="6"/>
        <v>-3354000</v>
      </c>
      <c r="AG27" s="376">
        <f t="shared" si="7"/>
        <v>15260000</v>
      </c>
      <c r="AH27" s="373">
        <f t="shared" si="8"/>
        <v>-6013000</v>
      </c>
      <c r="AI27" s="375">
        <f>AG27+AH27</f>
        <v>9247000</v>
      </c>
    </row>
    <row r="28" spans="1:35" ht="15">
      <c r="A28" s="371" t="s">
        <v>19</v>
      </c>
      <c r="B28" s="372">
        <v>1675000</v>
      </c>
      <c r="C28" s="372">
        <v>-346000</v>
      </c>
      <c r="D28" s="372">
        <v>893000</v>
      </c>
      <c r="E28" s="372">
        <v>0</v>
      </c>
      <c r="F28" s="372">
        <v>1887000</v>
      </c>
      <c r="G28" s="372"/>
      <c r="H28" s="372">
        <v>-664000</v>
      </c>
      <c r="I28" s="372"/>
      <c r="J28" s="372">
        <v>3964000</v>
      </c>
      <c r="K28" s="372">
        <f t="shared" si="4"/>
        <v>-1321000</v>
      </c>
      <c r="L28" s="373">
        <v>5248000</v>
      </c>
      <c r="M28" s="373">
        <f t="shared" si="4"/>
        <v>-1749000</v>
      </c>
      <c r="N28" s="374">
        <v>68000</v>
      </c>
      <c r="O28" s="372">
        <v>-9000</v>
      </c>
      <c r="P28" s="372">
        <v>14000</v>
      </c>
      <c r="Q28" s="372">
        <v>0</v>
      </c>
      <c r="R28" s="372">
        <v>-5000</v>
      </c>
      <c r="S28" s="372">
        <v>56000</v>
      </c>
      <c r="T28" s="372">
        <f t="shared" si="5"/>
        <v>-19000</v>
      </c>
      <c r="U28" s="373">
        <v>78000</v>
      </c>
      <c r="V28" s="375">
        <f t="shared" si="5"/>
        <v>-26000</v>
      </c>
      <c r="W28" s="372">
        <f t="shared" si="0"/>
        <v>1743000</v>
      </c>
      <c r="X28" s="372">
        <f t="shared" si="0"/>
        <v>-355000</v>
      </c>
      <c r="Y28" s="372">
        <f t="shared" si="0"/>
        <v>907000</v>
      </c>
      <c r="Z28" s="372">
        <f t="shared" si="1"/>
        <v>1887000</v>
      </c>
      <c r="AA28" s="372">
        <f t="shared" si="2"/>
        <v>0</v>
      </c>
      <c r="AB28" s="372">
        <f t="shared" si="3"/>
        <v>-669000</v>
      </c>
      <c r="AC28" s="372">
        <f t="shared" si="6"/>
        <v>4020000</v>
      </c>
      <c r="AD28" s="372">
        <f t="shared" si="6"/>
        <v>-1340000</v>
      </c>
      <c r="AE28" s="373">
        <f t="shared" si="6"/>
        <v>5326000</v>
      </c>
      <c r="AF28" s="373">
        <f t="shared" si="6"/>
        <v>-1775000</v>
      </c>
      <c r="AG28" s="376">
        <f t="shared" si="7"/>
        <v>13528000</v>
      </c>
      <c r="AH28" s="373">
        <f>AB28+AD28+AF28</f>
        <v>-3784000</v>
      </c>
      <c r="AI28" s="375">
        <f t="shared" si="9"/>
        <v>9744000</v>
      </c>
    </row>
    <row r="29" spans="1:35" ht="15">
      <c r="A29" s="371" t="s">
        <v>20</v>
      </c>
      <c r="B29" s="372">
        <v>631000</v>
      </c>
      <c r="C29" s="372">
        <v>-241000</v>
      </c>
      <c r="D29" s="372">
        <v>824000</v>
      </c>
      <c r="E29" s="372">
        <v>0</v>
      </c>
      <c r="F29" s="372">
        <v>895000</v>
      </c>
      <c r="G29" s="372"/>
      <c r="H29" s="372">
        <v>-470000</v>
      </c>
      <c r="I29" s="372"/>
      <c r="J29" s="372">
        <v>3571000</v>
      </c>
      <c r="K29" s="372">
        <f t="shared" si="4"/>
        <v>-1190000</v>
      </c>
      <c r="L29" s="373">
        <v>4724000</v>
      </c>
      <c r="M29" s="373">
        <f t="shared" si="4"/>
        <v>-1575000</v>
      </c>
      <c r="N29" s="374">
        <v>-44000</v>
      </c>
      <c r="O29" s="372">
        <v>-2000</v>
      </c>
      <c r="P29" s="372">
        <v>10000</v>
      </c>
      <c r="Q29" s="372">
        <v>0</v>
      </c>
      <c r="R29" s="372">
        <v>-3000</v>
      </c>
      <c r="S29" s="372">
        <v>40000</v>
      </c>
      <c r="T29" s="372">
        <f t="shared" si="5"/>
        <v>-13000</v>
      </c>
      <c r="U29" s="373">
        <v>57000</v>
      </c>
      <c r="V29" s="375">
        <f t="shared" si="5"/>
        <v>-19000</v>
      </c>
      <c r="W29" s="372">
        <f t="shared" si="0"/>
        <v>587000</v>
      </c>
      <c r="X29" s="372">
        <f t="shared" si="0"/>
        <v>-243000</v>
      </c>
      <c r="Y29" s="372">
        <f t="shared" si="0"/>
        <v>834000</v>
      </c>
      <c r="Z29" s="372">
        <f t="shared" si="1"/>
        <v>895000</v>
      </c>
      <c r="AA29" s="372">
        <f t="shared" si="2"/>
        <v>0</v>
      </c>
      <c r="AB29" s="372">
        <f t="shared" si="3"/>
        <v>-473000</v>
      </c>
      <c r="AC29" s="372">
        <f t="shared" si="6"/>
        <v>3611000</v>
      </c>
      <c r="AD29" s="372">
        <f t="shared" si="6"/>
        <v>-1203000</v>
      </c>
      <c r="AE29" s="373">
        <f t="shared" si="6"/>
        <v>4781000</v>
      </c>
      <c r="AF29" s="373">
        <f t="shared" si="6"/>
        <v>-1594000</v>
      </c>
      <c r="AG29" s="376">
        <f t="shared" si="7"/>
        <v>10465000</v>
      </c>
      <c r="AH29" s="373">
        <f t="shared" si="8"/>
        <v>-3270000</v>
      </c>
      <c r="AI29" s="375">
        <f t="shared" si="9"/>
        <v>7195000</v>
      </c>
    </row>
    <row r="30" spans="1:35" ht="15">
      <c r="A30" s="371" t="s">
        <v>21</v>
      </c>
      <c r="B30" s="372">
        <v>-453000</v>
      </c>
      <c r="C30" s="372">
        <v>-659000</v>
      </c>
      <c r="D30" s="372">
        <v>746000</v>
      </c>
      <c r="E30" s="372">
        <v>0</v>
      </c>
      <c r="F30" s="372">
        <v>-715000</v>
      </c>
      <c r="G30" s="372"/>
      <c r="H30" s="372">
        <v>-86000</v>
      </c>
      <c r="I30" s="372"/>
      <c r="J30" s="372">
        <v>3101000</v>
      </c>
      <c r="K30" s="372">
        <f t="shared" si="4"/>
        <v>-1034000</v>
      </c>
      <c r="L30" s="373">
        <v>4101000</v>
      </c>
      <c r="M30" s="373">
        <f t="shared" si="4"/>
        <v>-1367000</v>
      </c>
      <c r="N30" s="374">
        <v>136000</v>
      </c>
      <c r="O30" s="372">
        <v>-18000</v>
      </c>
      <c r="P30" s="372">
        <v>11000</v>
      </c>
      <c r="Q30" s="372">
        <v>0</v>
      </c>
      <c r="R30" s="372">
        <v>-4000</v>
      </c>
      <c r="S30" s="372">
        <v>52000</v>
      </c>
      <c r="T30" s="372">
        <f t="shared" si="5"/>
        <v>-17000</v>
      </c>
      <c r="U30" s="373">
        <v>68000</v>
      </c>
      <c r="V30" s="375">
        <f t="shared" si="5"/>
        <v>-23000</v>
      </c>
      <c r="W30" s="372">
        <f t="shared" si="0"/>
        <v>-317000</v>
      </c>
      <c r="X30" s="372">
        <f t="shared" si="0"/>
        <v>-677000</v>
      </c>
      <c r="Y30" s="372">
        <f t="shared" si="0"/>
        <v>757000</v>
      </c>
      <c r="Z30" s="372">
        <f t="shared" si="1"/>
        <v>-715000</v>
      </c>
      <c r="AA30" s="372">
        <f t="shared" si="2"/>
        <v>0</v>
      </c>
      <c r="AB30" s="372">
        <f t="shared" si="3"/>
        <v>-90000</v>
      </c>
      <c r="AC30" s="372">
        <f t="shared" si="6"/>
        <v>3153000</v>
      </c>
      <c r="AD30" s="372">
        <f t="shared" si="6"/>
        <v>-1051000</v>
      </c>
      <c r="AE30" s="373">
        <f t="shared" si="6"/>
        <v>4169000</v>
      </c>
      <c r="AF30" s="373">
        <f t="shared" si="6"/>
        <v>-1390000</v>
      </c>
      <c r="AG30" s="376">
        <f t="shared" si="7"/>
        <v>6370000</v>
      </c>
      <c r="AH30" s="373">
        <f>AB30+AD30+AF30</f>
        <v>-2531000</v>
      </c>
      <c r="AI30" s="375">
        <f>AG30+AH30</f>
        <v>3839000</v>
      </c>
    </row>
    <row r="31" spans="1:35" ht="6" customHeight="1">
      <c r="A31" s="371"/>
      <c r="B31" s="372"/>
      <c r="C31" s="372"/>
      <c r="D31" s="372"/>
      <c r="E31" s="372"/>
      <c r="F31" s="372"/>
      <c r="G31" s="372"/>
      <c r="H31" s="372"/>
      <c r="I31" s="372"/>
      <c r="J31" s="372"/>
      <c r="K31" s="372"/>
      <c r="L31" s="373"/>
      <c r="M31" s="373"/>
      <c r="N31" s="374"/>
      <c r="O31" s="372"/>
      <c r="P31" s="372"/>
      <c r="Q31" s="372"/>
      <c r="R31" s="372"/>
      <c r="S31" s="372"/>
      <c r="T31" s="372"/>
      <c r="U31" s="373"/>
      <c r="V31" s="375"/>
      <c r="W31" s="372"/>
      <c r="X31" s="372"/>
      <c r="Y31" s="372"/>
      <c r="Z31" s="372"/>
      <c r="AA31" s="372"/>
      <c r="AB31" s="372"/>
      <c r="AC31" s="372"/>
      <c r="AD31" s="372"/>
      <c r="AE31" s="373"/>
      <c r="AF31" s="375"/>
      <c r="AG31" s="376"/>
      <c r="AH31" s="373"/>
      <c r="AI31" s="377"/>
    </row>
    <row r="32" spans="1:35" ht="15">
      <c r="A32" s="378" t="s">
        <v>22</v>
      </c>
      <c r="B32" s="379">
        <f>SUM(B8:B30)</f>
        <v>3089000</v>
      </c>
      <c r="C32" s="379">
        <f>SUM(C8:C30)</f>
        <v>-16364000</v>
      </c>
      <c r="D32" s="379">
        <f>SUM(D8:D30)</f>
        <v>38159000</v>
      </c>
      <c r="E32" s="379">
        <f>SUM(E8:E30)</f>
        <v>2916000</v>
      </c>
      <c r="F32" s="379">
        <f>SUM(F8:F30)</f>
        <v>29093000</v>
      </c>
      <c r="G32" s="379"/>
      <c r="H32" s="379">
        <f>SUM(H8:H30)</f>
        <v>-19545000</v>
      </c>
      <c r="I32" s="379"/>
      <c r="J32" s="379">
        <f aca="true" t="shared" si="10" ref="J32:AI32">SUM(J8:J30)</f>
        <v>164374000</v>
      </c>
      <c r="K32" s="379">
        <f t="shared" si="10"/>
        <v>-54791000</v>
      </c>
      <c r="L32" s="380">
        <v>217429000</v>
      </c>
      <c r="M32" s="380">
        <f t="shared" si="10"/>
        <v>-72477000</v>
      </c>
      <c r="N32" s="381">
        <f t="shared" si="10"/>
        <v>-4056000</v>
      </c>
      <c r="O32" s="379">
        <f t="shared" si="10"/>
        <v>-2908000</v>
      </c>
      <c r="P32" s="379">
        <f t="shared" si="10"/>
        <v>1802000</v>
      </c>
      <c r="Q32" s="379">
        <f t="shared" si="10"/>
        <v>188000</v>
      </c>
      <c r="R32" s="379">
        <f t="shared" si="10"/>
        <v>-665000</v>
      </c>
      <c r="S32" s="379">
        <f t="shared" si="10"/>
        <v>7622000</v>
      </c>
      <c r="T32" s="379">
        <f t="shared" si="10"/>
        <v>-2540000</v>
      </c>
      <c r="U32" s="380">
        <f t="shared" si="10"/>
        <v>10094000</v>
      </c>
      <c r="V32" s="382">
        <f t="shared" si="10"/>
        <v>-3365000</v>
      </c>
      <c r="W32" s="379">
        <f t="shared" si="10"/>
        <v>-967000</v>
      </c>
      <c r="X32" s="379">
        <f t="shared" si="10"/>
        <v>-19272000</v>
      </c>
      <c r="Y32" s="379">
        <f t="shared" si="10"/>
        <v>39961000</v>
      </c>
      <c r="Z32" s="379">
        <f t="shared" si="10"/>
        <v>29093000</v>
      </c>
      <c r="AA32" s="379">
        <f t="shared" si="10"/>
        <v>3104000</v>
      </c>
      <c r="AB32" s="379">
        <f t="shared" si="10"/>
        <v>-20210000</v>
      </c>
      <c r="AC32" s="379">
        <f>SUM(AC8:AC30)</f>
        <v>171996000</v>
      </c>
      <c r="AD32" s="379">
        <f>SUM(AD8:AD30)</f>
        <v>-57331000</v>
      </c>
      <c r="AE32" s="380">
        <f>SUM(AE8:AE30)</f>
        <v>227523000</v>
      </c>
      <c r="AF32" s="382">
        <f t="shared" si="10"/>
        <v>-75842000</v>
      </c>
      <c r="AG32" s="383">
        <f t="shared" si="10"/>
        <v>451438000</v>
      </c>
      <c r="AH32" s="380">
        <f t="shared" si="10"/>
        <v>-153383000</v>
      </c>
      <c r="AI32" s="382">
        <f t="shared" si="10"/>
        <v>298055000</v>
      </c>
    </row>
    <row r="33" spans="1:35" ht="6" customHeight="1">
      <c r="A33" s="384"/>
      <c r="B33" s="364"/>
      <c r="C33" s="364"/>
      <c r="D33" s="364"/>
      <c r="E33" s="364"/>
      <c r="F33" s="364"/>
      <c r="G33" s="364"/>
      <c r="H33" s="364"/>
      <c r="I33" s="364"/>
      <c r="J33" s="364"/>
      <c r="K33" s="364"/>
      <c r="L33" s="366"/>
      <c r="M33" s="366"/>
      <c r="N33" s="368"/>
      <c r="O33" s="364"/>
      <c r="P33" s="364"/>
      <c r="Q33" s="364"/>
      <c r="R33" s="364"/>
      <c r="S33" s="364"/>
      <c r="T33" s="364"/>
      <c r="U33" s="366"/>
      <c r="V33" s="369"/>
      <c r="W33" s="364"/>
      <c r="X33" s="364"/>
      <c r="Y33" s="364"/>
      <c r="Z33" s="364"/>
      <c r="AA33" s="364"/>
      <c r="AB33" s="364"/>
      <c r="AC33" s="364"/>
      <c r="AD33" s="364"/>
      <c r="AE33" s="366"/>
      <c r="AF33" s="369"/>
      <c r="AG33" s="370"/>
      <c r="AH33" s="366"/>
      <c r="AI33" s="377"/>
    </row>
    <row r="34" spans="1:35" ht="15">
      <c r="A34" s="363" t="s">
        <v>23</v>
      </c>
      <c r="B34" s="372">
        <v>0</v>
      </c>
      <c r="C34" s="372">
        <v>0</v>
      </c>
      <c r="D34" s="372">
        <v>0</v>
      </c>
      <c r="E34" s="372">
        <v>0</v>
      </c>
      <c r="F34" s="372">
        <v>0</v>
      </c>
      <c r="G34" s="372"/>
      <c r="H34" s="372">
        <v>0</v>
      </c>
      <c r="I34" s="372"/>
      <c r="J34" s="372">
        <v>0</v>
      </c>
      <c r="K34" s="385">
        <f>-ROUND((J34/3)/1000,0)*1000</f>
        <v>0</v>
      </c>
      <c r="L34" s="373">
        <v>0</v>
      </c>
      <c r="M34" s="386">
        <f>-ROUND((J34/3)/1000,0)*1000</f>
        <v>0</v>
      </c>
      <c r="N34" s="374">
        <v>0</v>
      </c>
      <c r="O34" s="372">
        <v>0</v>
      </c>
      <c r="P34" s="372">
        <v>0</v>
      </c>
      <c r="Q34" s="372">
        <v>0</v>
      </c>
      <c r="R34" s="372">
        <v>0</v>
      </c>
      <c r="S34" s="372">
        <v>0</v>
      </c>
      <c r="T34" s="372">
        <f>-ROUND(S34/3,-3)</f>
        <v>0</v>
      </c>
      <c r="U34" s="373">
        <f>-ROUND(T34/3,-3)</f>
        <v>0</v>
      </c>
      <c r="V34" s="375">
        <f>-ROUND(S34/3,-3)</f>
        <v>0</v>
      </c>
      <c r="W34" s="372">
        <f>B34+N34</f>
        <v>0</v>
      </c>
      <c r="X34" s="372">
        <v>0</v>
      </c>
      <c r="Y34" s="372">
        <v>0</v>
      </c>
      <c r="Z34" s="372">
        <v>0</v>
      </c>
      <c r="AA34" s="372">
        <v>0</v>
      </c>
      <c r="AB34" s="372">
        <f>H34+R34</f>
        <v>0</v>
      </c>
      <c r="AC34" s="372">
        <f>J34+S34</f>
        <v>0</v>
      </c>
      <c r="AD34" s="372">
        <f aca="true" t="shared" si="11" ref="AD34:AF38">K34+T34</f>
        <v>0</v>
      </c>
      <c r="AE34" s="373">
        <f t="shared" si="11"/>
        <v>0</v>
      </c>
      <c r="AF34" s="373">
        <f t="shared" si="11"/>
        <v>0</v>
      </c>
      <c r="AG34" s="376">
        <f>W34+X34+Z34+AA34+AC34+Y34+AE34</f>
        <v>0</v>
      </c>
      <c r="AH34" s="373">
        <f>AB34+AD34+AF34</f>
        <v>0</v>
      </c>
      <c r="AI34" s="375">
        <f>AG34+AH34</f>
        <v>0</v>
      </c>
    </row>
    <row r="35" spans="1:35" ht="15">
      <c r="A35" s="371" t="s">
        <v>30</v>
      </c>
      <c r="B35" s="372">
        <v>131000</v>
      </c>
      <c r="C35" s="372">
        <v>0</v>
      </c>
      <c r="D35" s="372">
        <v>86000</v>
      </c>
      <c r="E35" s="372">
        <v>130000</v>
      </c>
      <c r="F35" s="372">
        <v>-372000</v>
      </c>
      <c r="G35" s="372"/>
      <c r="H35" s="372">
        <v>0</v>
      </c>
      <c r="I35" s="372"/>
      <c r="J35" s="372">
        <f>360000-38000</f>
        <v>322000</v>
      </c>
      <c r="K35" s="372">
        <v>0</v>
      </c>
      <c r="L35" s="373">
        <v>436000</v>
      </c>
      <c r="M35" s="373">
        <v>0</v>
      </c>
      <c r="N35" s="374">
        <v>0</v>
      </c>
      <c r="O35" s="372">
        <v>0</v>
      </c>
      <c r="P35" s="372">
        <v>0</v>
      </c>
      <c r="Q35" s="372">
        <v>0</v>
      </c>
      <c r="R35" s="372">
        <v>0</v>
      </c>
      <c r="S35" s="372">
        <v>0</v>
      </c>
      <c r="T35" s="372">
        <f>-ROUND(S35/3,-3)</f>
        <v>0</v>
      </c>
      <c r="U35" s="373">
        <v>0</v>
      </c>
      <c r="V35" s="375">
        <f>-ROUND(S35/3,-3)</f>
        <v>0</v>
      </c>
      <c r="W35" s="372">
        <f>B35+N35</f>
        <v>131000</v>
      </c>
      <c r="X35" s="372">
        <v>0</v>
      </c>
      <c r="Y35" s="372">
        <f>D35+P35</f>
        <v>86000</v>
      </c>
      <c r="Z35" s="372">
        <f>F35</f>
        <v>-372000</v>
      </c>
      <c r="AA35" s="372">
        <f>E35+Q35</f>
        <v>130000</v>
      </c>
      <c r="AB35" s="372">
        <f>H35+R35</f>
        <v>0</v>
      </c>
      <c r="AC35" s="372">
        <f>J35+S35</f>
        <v>322000</v>
      </c>
      <c r="AD35" s="372">
        <f t="shared" si="11"/>
        <v>0</v>
      </c>
      <c r="AE35" s="373">
        <f>L35+U35</f>
        <v>436000</v>
      </c>
      <c r="AF35" s="373">
        <f t="shared" si="11"/>
        <v>0</v>
      </c>
      <c r="AG35" s="376">
        <f>W35+X35+Z35+AA35+AC35+Y35+AE35</f>
        <v>733000</v>
      </c>
      <c r="AH35" s="373">
        <f>AB35+AD35+AF35</f>
        <v>0</v>
      </c>
      <c r="AI35" s="375">
        <f>AG35+AH35</f>
        <v>733000</v>
      </c>
    </row>
    <row r="36" spans="1:35" ht="15">
      <c r="A36" s="371" t="s">
        <v>24</v>
      </c>
      <c r="B36" s="372">
        <v>-178000</v>
      </c>
      <c r="C36" s="372">
        <v>0</v>
      </c>
      <c r="D36" s="372">
        <v>49000</v>
      </c>
      <c r="E36" s="372">
        <v>35000</v>
      </c>
      <c r="F36" s="372">
        <v>-140000</v>
      </c>
      <c r="G36" s="372"/>
      <c r="H36" s="372">
        <v>0</v>
      </c>
      <c r="I36" s="372"/>
      <c r="J36" s="372">
        <v>189000</v>
      </c>
      <c r="K36" s="372">
        <v>0</v>
      </c>
      <c r="L36" s="373">
        <v>254000</v>
      </c>
      <c r="M36" s="373">
        <v>0</v>
      </c>
      <c r="N36" s="374">
        <v>-19000</v>
      </c>
      <c r="O36" s="372">
        <v>0</v>
      </c>
      <c r="P36" s="372">
        <v>1000</v>
      </c>
      <c r="Q36" s="372">
        <v>1000</v>
      </c>
      <c r="R36" s="372">
        <v>0</v>
      </c>
      <c r="S36" s="372">
        <v>2000</v>
      </c>
      <c r="T36" s="372">
        <v>0</v>
      </c>
      <c r="U36" s="373">
        <v>4000</v>
      </c>
      <c r="V36" s="375">
        <v>0</v>
      </c>
      <c r="W36" s="372">
        <f>B36+N36</f>
        <v>-197000</v>
      </c>
      <c r="X36" s="372">
        <v>0</v>
      </c>
      <c r="Y36" s="372">
        <f>D36+P36</f>
        <v>50000</v>
      </c>
      <c r="Z36" s="372">
        <f>F36</f>
        <v>-140000</v>
      </c>
      <c r="AA36" s="372">
        <f>E36+Q36</f>
        <v>36000</v>
      </c>
      <c r="AB36" s="372">
        <f>H36+R36</f>
        <v>0</v>
      </c>
      <c r="AC36" s="372">
        <f>J36+S36</f>
        <v>191000</v>
      </c>
      <c r="AD36" s="372">
        <f t="shared" si="11"/>
        <v>0</v>
      </c>
      <c r="AE36" s="373">
        <f t="shared" si="11"/>
        <v>258000</v>
      </c>
      <c r="AF36" s="373">
        <f t="shared" si="11"/>
        <v>0</v>
      </c>
      <c r="AG36" s="376">
        <f>W36+X36+Z36+AA36+AC36+Y36+AE36</f>
        <v>198000</v>
      </c>
      <c r="AH36" s="373">
        <f>AB36+AD36+AF36</f>
        <v>0</v>
      </c>
      <c r="AI36" s="375">
        <f>AG36+AH36</f>
        <v>198000</v>
      </c>
    </row>
    <row r="37" spans="1:35" ht="15">
      <c r="A37" s="371" t="s">
        <v>25</v>
      </c>
      <c r="B37" s="372">
        <v>12000</v>
      </c>
      <c r="C37" s="372">
        <v>0</v>
      </c>
      <c r="D37" s="372">
        <v>0</v>
      </c>
      <c r="E37" s="372">
        <v>49000</v>
      </c>
      <c r="F37" s="372">
        <v>0</v>
      </c>
      <c r="G37" s="372"/>
      <c r="H37" s="372">
        <v>0</v>
      </c>
      <c r="I37" s="372"/>
      <c r="J37" s="372">
        <v>0</v>
      </c>
      <c r="K37" s="372">
        <f>-ROUND((J37/3)/1000,0)*1000</f>
        <v>0</v>
      </c>
      <c r="L37" s="373">
        <v>0</v>
      </c>
      <c r="M37" s="373">
        <f>-ROUND((J37/3)/1000,0)*1000</f>
        <v>0</v>
      </c>
      <c r="N37" s="374">
        <v>-8000</v>
      </c>
      <c r="O37" s="372">
        <v>0</v>
      </c>
      <c r="P37" s="372">
        <v>0</v>
      </c>
      <c r="Q37" s="372">
        <v>4000</v>
      </c>
      <c r="R37" s="372">
        <v>0</v>
      </c>
      <c r="S37" s="372">
        <v>0</v>
      </c>
      <c r="T37" s="372">
        <f>-ROUND(S37/3,-3)</f>
        <v>0</v>
      </c>
      <c r="U37" s="373">
        <f>-ROUND(T37/3,-3)</f>
        <v>0</v>
      </c>
      <c r="V37" s="375">
        <f>-ROUND(S37/3,-3)</f>
        <v>0</v>
      </c>
      <c r="W37" s="372">
        <f>B37+N37</f>
        <v>4000</v>
      </c>
      <c r="X37" s="372">
        <v>0</v>
      </c>
      <c r="Y37" s="372">
        <f>D37+P37</f>
        <v>0</v>
      </c>
      <c r="Z37" s="372">
        <f>F37</f>
        <v>0</v>
      </c>
      <c r="AA37" s="372">
        <f>E37+Q37</f>
        <v>53000</v>
      </c>
      <c r="AB37" s="372">
        <f>H37+R37</f>
        <v>0</v>
      </c>
      <c r="AC37" s="372">
        <f>J37+S37</f>
        <v>0</v>
      </c>
      <c r="AD37" s="372">
        <f t="shared" si="11"/>
        <v>0</v>
      </c>
      <c r="AE37" s="373">
        <f t="shared" si="11"/>
        <v>0</v>
      </c>
      <c r="AF37" s="373">
        <f t="shared" si="11"/>
        <v>0</v>
      </c>
      <c r="AG37" s="376">
        <f>W37+X37+Z37+AA37+AC37+Y37+AE37</f>
        <v>57000</v>
      </c>
      <c r="AH37" s="373">
        <f>AB37+AD37+AF37</f>
        <v>0</v>
      </c>
      <c r="AI37" s="375">
        <f>AG37+AH37</f>
        <v>57000</v>
      </c>
    </row>
    <row r="38" spans="1:35" ht="16.5" customHeight="1">
      <c r="A38" s="387" t="s">
        <v>26</v>
      </c>
      <c r="B38" s="372">
        <v>0</v>
      </c>
      <c r="C38" s="372">
        <v>0</v>
      </c>
      <c r="D38" s="372">
        <v>0</v>
      </c>
      <c r="E38" s="372">
        <v>0</v>
      </c>
      <c r="F38" s="372">
        <v>0</v>
      </c>
      <c r="G38" s="372"/>
      <c r="H38" s="372">
        <v>0</v>
      </c>
      <c r="I38" s="372"/>
      <c r="J38" s="372">
        <v>0</v>
      </c>
      <c r="K38" s="385">
        <v>0</v>
      </c>
      <c r="L38" s="373">
        <v>0</v>
      </c>
      <c r="M38" s="386">
        <v>0</v>
      </c>
      <c r="N38" s="374">
        <v>0</v>
      </c>
      <c r="O38" s="372">
        <v>0</v>
      </c>
      <c r="P38" s="372">
        <v>0</v>
      </c>
      <c r="Q38" s="372">
        <v>0</v>
      </c>
      <c r="R38" s="372">
        <v>0</v>
      </c>
      <c r="S38" s="372">
        <v>0</v>
      </c>
      <c r="T38" s="372">
        <f>-ROUND(S38/3,-3)</f>
        <v>0</v>
      </c>
      <c r="U38" s="373">
        <f>-ROUND(T38/3,-3)</f>
        <v>0</v>
      </c>
      <c r="V38" s="375">
        <f>-ROUND(S38/3,-3)</f>
        <v>0</v>
      </c>
      <c r="W38" s="372">
        <f>B38+N38</f>
        <v>0</v>
      </c>
      <c r="X38" s="372">
        <v>0</v>
      </c>
      <c r="Y38" s="372">
        <v>0</v>
      </c>
      <c r="Z38" s="372">
        <v>0</v>
      </c>
      <c r="AA38" s="372">
        <v>0</v>
      </c>
      <c r="AB38" s="372">
        <v>0</v>
      </c>
      <c r="AC38" s="372">
        <f>J38+S38</f>
        <v>0</v>
      </c>
      <c r="AD38" s="372">
        <f t="shared" si="11"/>
        <v>0</v>
      </c>
      <c r="AE38" s="373">
        <f t="shared" si="11"/>
        <v>0</v>
      </c>
      <c r="AF38" s="373">
        <f t="shared" si="11"/>
        <v>0</v>
      </c>
      <c r="AG38" s="376">
        <f>W38+X38+Z38+AA38+AC38+Y38+AE38</f>
        <v>0</v>
      </c>
      <c r="AH38" s="373">
        <f>AB38+AD38+AF38</f>
        <v>0</v>
      </c>
      <c r="AI38" s="375">
        <f>AG38+AH38</f>
        <v>0</v>
      </c>
    </row>
    <row r="39" spans="1:35" ht="6" customHeight="1">
      <c r="A39" s="387"/>
      <c r="B39" s="372"/>
      <c r="C39" s="372"/>
      <c r="D39" s="372"/>
      <c r="E39" s="372"/>
      <c r="F39" s="372"/>
      <c r="G39" s="372"/>
      <c r="H39" s="372"/>
      <c r="I39" s="372"/>
      <c r="J39" s="372"/>
      <c r="K39" s="372"/>
      <c r="L39" s="373"/>
      <c r="M39" s="386"/>
      <c r="N39" s="374"/>
      <c r="O39" s="372"/>
      <c r="P39" s="372"/>
      <c r="Q39" s="372"/>
      <c r="R39" s="372"/>
      <c r="S39" s="372"/>
      <c r="T39" s="372"/>
      <c r="U39" s="373"/>
      <c r="V39" s="375"/>
      <c r="W39" s="372"/>
      <c r="X39" s="372"/>
      <c r="Y39" s="372"/>
      <c r="Z39" s="372"/>
      <c r="AA39" s="372"/>
      <c r="AB39" s="372"/>
      <c r="AC39" s="372"/>
      <c r="AD39" s="372"/>
      <c r="AE39" s="373"/>
      <c r="AF39" s="375"/>
      <c r="AG39" s="388"/>
      <c r="AH39" s="389"/>
      <c r="AI39" s="390"/>
    </row>
    <row r="40" spans="1:35" ht="15.75" thickBot="1">
      <c r="A40" s="391" t="s">
        <v>39</v>
      </c>
      <c r="B40" s="392">
        <f>SUM(B32:B38)</f>
        <v>3054000</v>
      </c>
      <c r="C40" s="392">
        <f>SUM(C32:C38)</f>
        <v>-16364000</v>
      </c>
      <c r="D40" s="392">
        <f>SUM(D32:D38)</f>
        <v>38294000</v>
      </c>
      <c r="E40" s="392">
        <f>SUM(E32:E38)</f>
        <v>3130000</v>
      </c>
      <c r="F40" s="392">
        <f>SUM(F32:F38)</f>
        <v>28581000</v>
      </c>
      <c r="G40" s="392"/>
      <c r="H40" s="392">
        <f>SUM(H32:H38)</f>
        <v>-19545000</v>
      </c>
      <c r="I40" s="392"/>
      <c r="J40" s="392">
        <f aca="true" t="shared" si="12" ref="J40:AE40">SUM(J32:J38)</f>
        <v>164885000</v>
      </c>
      <c r="K40" s="392">
        <f t="shared" si="12"/>
        <v>-54791000</v>
      </c>
      <c r="L40" s="393">
        <v>218119000</v>
      </c>
      <c r="M40" s="393">
        <f t="shared" si="12"/>
        <v>-72477000</v>
      </c>
      <c r="N40" s="394">
        <f t="shared" si="12"/>
        <v>-4083000</v>
      </c>
      <c r="O40" s="392">
        <f t="shared" si="12"/>
        <v>-2908000</v>
      </c>
      <c r="P40" s="392">
        <f t="shared" si="12"/>
        <v>1803000</v>
      </c>
      <c r="Q40" s="392">
        <f t="shared" si="12"/>
        <v>193000</v>
      </c>
      <c r="R40" s="392">
        <f t="shared" si="12"/>
        <v>-665000</v>
      </c>
      <c r="S40" s="392">
        <f t="shared" si="12"/>
        <v>7624000</v>
      </c>
      <c r="T40" s="392">
        <f t="shared" si="12"/>
        <v>-2540000</v>
      </c>
      <c r="U40" s="393">
        <f t="shared" si="12"/>
        <v>10098000</v>
      </c>
      <c r="V40" s="395">
        <f t="shared" si="12"/>
        <v>-3365000</v>
      </c>
      <c r="W40" s="392">
        <f t="shared" si="12"/>
        <v>-1029000</v>
      </c>
      <c r="X40" s="392">
        <f t="shared" si="12"/>
        <v>-19272000</v>
      </c>
      <c r="Y40" s="392">
        <f t="shared" si="12"/>
        <v>40097000</v>
      </c>
      <c r="Z40" s="392">
        <f t="shared" si="12"/>
        <v>28581000</v>
      </c>
      <c r="AA40" s="392">
        <f t="shared" si="12"/>
        <v>3323000</v>
      </c>
      <c r="AB40" s="392">
        <f t="shared" si="12"/>
        <v>-20210000</v>
      </c>
      <c r="AC40" s="392">
        <f t="shared" si="12"/>
        <v>172509000</v>
      </c>
      <c r="AD40" s="392">
        <f t="shared" si="12"/>
        <v>-57331000</v>
      </c>
      <c r="AE40" s="393">
        <f t="shared" si="12"/>
        <v>228217000</v>
      </c>
      <c r="AF40" s="395">
        <f>SUM(AF32:AF38)</f>
        <v>-75842000</v>
      </c>
      <c r="AG40" s="396">
        <f>SUM(AG32:AG38)</f>
        <v>452426000</v>
      </c>
      <c r="AH40" s="397">
        <f>SUM(AH32:AH38)</f>
        <v>-153383000</v>
      </c>
      <c r="AI40" s="398">
        <f>SUM(AI32:AI38)</f>
        <v>299043000</v>
      </c>
    </row>
    <row r="41" ht="6" customHeight="1">
      <c r="AB41" s="365"/>
    </row>
    <row r="42" spans="2:35" ht="16.5" customHeight="1">
      <c r="B42" s="400" t="s">
        <v>78</v>
      </c>
      <c r="C42" s="400"/>
      <c r="D42" s="400"/>
      <c r="E42" s="401"/>
      <c r="F42" s="401"/>
      <c r="G42" s="401"/>
      <c r="H42" s="402"/>
      <c r="I42" s="403" t="s">
        <v>148</v>
      </c>
      <c r="J42" s="401"/>
      <c r="K42" s="401"/>
      <c r="M42" s="404"/>
      <c r="N42" s="401"/>
      <c r="O42" s="401"/>
      <c r="P42" s="401"/>
      <c r="Q42" s="401"/>
      <c r="R42" s="402"/>
      <c r="S42" s="401"/>
      <c r="T42" s="401"/>
      <c r="U42" s="405"/>
      <c r="V42" s="406"/>
      <c r="AB42" s="365"/>
      <c r="AC42" s="407"/>
      <c r="AD42" s="407"/>
      <c r="AE42" s="407"/>
      <c r="AI42" s="365"/>
    </row>
    <row r="43" spans="2:34" s="408" customFormat="1" ht="16.5" customHeight="1">
      <c r="B43" s="400" t="s">
        <v>182</v>
      </c>
      <c r="C43" s="400"/>
      <c r="D43" s="400"/>
      <c r="E43" s="409"/>
      <c r="F43" s="409"/>
      <c r="G43" s="409"/>
      <c r="H43" s="409"/>
      <c r="I43" s="401" t="s">
        <v>131</v>
      </c>
      <c r="J43" s="410"/>
      <c r="K43" s="410"/>
      <c r="M43" s="409"/>
      <c r="N43" s="410"/>
      <c r="O43" s="410"/>
      <c r="P43" s="410"/>
      <c r="Q43" s="410"/>
      <c r="R43" s="409"/>
      <c r="S43" s="410"/>
      <c r="T43" s="410"/>
      <c r="U43" s="411"/>
      <c r="V43" s="406"/>
      <c r="Y43" s="412"/>
      <c r="AA43" s="412"/>
      <c r="AC43" s="412"/>
      <c r="AD43" s="412"/>
      <c r="AE43" s="412"/>
      <c r="AH43" s="412"/>
    </row>
    <row r="44" spans="3:22" s="408" customFormat="1" ht="16.5" customHeight="1">
      <c r="C44" s="413"/>
      <c r="D44" s="413"/>
      <c r="E44" s="413"/>
      <c r="F44" s="413"/>
      <c r="G44" s="413"/>
      <c r="H44" s="413"/>
      <c r="I44" s="413"/>
      <c r="J44" s="413"/>
      <c r="K44" s="413"/>
      <c r="L44" s="413"/>
      <c r="M44" s="413"/>
      <c r="N44" s="413"/>
      <c r="O44" s="413"/>
      <c r="P44" s="413"/>
      <c r="Q44" s="413"/>
      <c r="R44" s="413"/>
      <c r="S44" s="413"/>
      <c r="T44" s="413"/>
      <c r="U44" s="414"/>
      <c r="V44" s="415"/>
    </row>
    <row r="45" spans="3:22" s="408" customFormat="1" ht="16.5" customHeight="1">
      <c r="C45" s="401"/>
      <c r="D45" s="400"/>
      <c r="E45" s="409"/>
      <c r="F45" s="409"/>
      <c r="G45" s="409"/>
      <c r="H45" s="409"/>
      <c r="I45" s="409"/>
      <c r="J45" s="410"/>
      <c r="K45" s="410"/>
      <c r="L45" s="410"/>
      <c r="M45" s="409"/>
      <c r="N45" s="410"/>
      <c r="O45" s="410"/>
      <c r="P45" s="410"/>
      <c r="Q45" s="410"/>
      <c r="R45" s="409"/>
      <c r="S45" s="410"/>
      <c r="T45" s="410"/>
      <c r="U45" s="411"/>
      <c r="V45" s="405"/>
    </row>
    <row r="46" spans="13:22" s="416" customFormat="1" ht="18.75" customHeight="1">
      <c r="M46" s="417"/>
      <c r="U46" s="418"/>
      <c r="V46" s="418"/>
    </row>
    <row r="47" spans="2:33" s="416" customFormat="1" ht="18.75" customHeight="1">
      <c r="B47" s="417"/>
      <c r="C47" s="417"/>
      <c r="D47" s="417"/>
      <c r="E47" s="417"/>
      <c r="F47" s="417"/>
      <c r="G47" s="417"/>
      <c r="H47" s="417"/>
      <c r="I47" s="417"/>
      <c r="J47" s="417"/>
      <c r="K47" s="417"/>
      <c r="L47" s="417"/>
      <c r="M47" s="419"/>
      <c r="Q47" s="417"/>
      <c r="R47" s="419"/>
      <c r="S47" s="417"/>
      <c r="T47" s="417"/>
      <c r="U47" s="420"/>
      <c r="V47" s="418"/>
      <c r="AA47" s="417"/>
      <c r="AC47" s="417"/>
      <c r="AD47" s="417"/>
      <c r="AE47" s="417"/>
      <c r="AG47" s="417"/>
    </row>
    <row r="48" spans="10:13" ht="15">
      <c r="J48" s="407"/>
      <c r="K48" s="407"/>
      <c r="L48" s="407"/>
      <c r="M48" s="407"/>
    </row>
    <row r="49" spans="2:13" ht="15">
      <c r="B49" s="365"/>
      <c r="C49" s="365"/>
      <c r="D49" s="365"/>
      <c r="E49" s="365"/>
      <c r="F49" s="365"/>
      <c r="G49" s="365"/>
      <c r="H49" s="365"/>
      <c r="I49" s="365"/>
      <c r="J49" s="365"/>
      <c r="K49" s="365"/>
      <c r="L49" s="365"/>
      <c r="M49" s="365"/>
    </row>
  </sheetData>
  <sheetProtection/>
  <mergeCells count="6">
    <mergeCell ref="AG4:AI4"/>
    <mergeCell ref="G6:I6"/>
    <mergeCell ref="B4:M4"/>
    <mergeCell ref="N4:S4"/>
    <mergeCell ref="T4:V4"/>
    <mergeCell ref="W4:AF4"/>
  </mergeCells>
  <printOptions/>
  <pageMargins left="0.18" right="0.12" top="0.59" bottom="0.25" header="0.3" footer="0.3"/>
  <pageSetup fitToWidth="2" horizontalDpi="600" verticalDpi="600" orientation="landscape" paperSize="5" scale="58" r:id="rId1"/>
  <colBreaks count="1" manualBreakCount="1">
    <brk id="19" max="4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PageLayoutView="0" workbookViewId="0" topLeftCell="A1">
      <pane xSplit="1" ySplit="7" topLeftCell="B23" activePane="bottomRight" state="frozen"/>
      <selection pane="topLeft" activeCell="A1" sqref="A1"/>
      <selection pane="topRight" activeCell="B1" sqref="B1"/>
      <selection pane="bottomLeft" activeCell="A8" sqref="A8"/>
      <selection pane="bottomRight" activeCell="K13" sqref="K13"/>
    </sheetView>
  </sheetViews>
  <sheetFormatPr defaultColWidth="9.33203125" defaultRowHeight="12.75"/>
  <cols>
    <col min="1" max="1" width="28.16015625" style="145" customWidth="1"/>
    <col min="2" max="2" width="15.5" style="145" customWidth="1"/>
    <col min="3" max="3" width="1.83203125" style="143" customWidth="1"/>
    <col min="4" max="4" width="16.33203125" style="143" customWidth="1"/>
    <col min="5" max="5" width="17.83203125" style="143" customWidth="1"/>
    <col min="6" max="6" width="1.83203125" style="143" customWidth="1"/>
    <col min="7" max="7" width="11.83203125" style="143" customWidth="1"/>
    <col min="8" max="8" width="2.5" style="143" customWidth="1"/>
    <col min="9" max="9" width="14.66015625" style="144" bestFit="1" customWidth="1"/>
    <col min="10" max="10" width="14.16015625" style="145" customWidth="1"/>
    <col min="11" max="16384" width="9.33203125" style="145" customWidth="1"/>
  </cols>
  <sheetData>
    <row r="1" spans="1:2" ht="15.75">
      <c r="A1" s="146" t="s">
        <v>156</v>
      </c>
      <c r="B1" s="142"/>
    </row>
    <row r="2" spans="1:9" ht="15.75">
      <c r="A2" s="146"/>
      <c r="B2" s="146"/>
      <c r="C2" s="147"/>
      <c r="D2" s="147"/>
      <c r="E2" s="147"/>
      <c r="F2" s="147"/>
      <c r="G2" s="147"/>
      <c r="H2" s="147"/>
      <c r="I2" s="148"/>
    </row>
    <row r="3" spans="1:10" ht="15.75" customHeight="1" thickBot="1">
      <c r="A3" s="150"/>
      <c r="B3" s="470" t="s">
        <v>65</v>
      </c>
      <c r="C3" s="470"/>
      <c r="D3" s="470"/>
      <c r="E3" s="470"/>
      <c r="F3" s="470"/>
      <c r="G3" s="149"/>
      <c r="H3" s="149"/>
      <c r="I3" s="150"/>
      <c r="J3" s="151"/>
    </row>
    <row r="4" spans="1:10" s="156" customFormat="1" ht="25.5" customHeight="1">
      <c r="A4" s="175"/>
      <c r="B4" s="152">
        <v>-1</v>
      </c>
      <c r="C4" s="153"/>
      <c r="D4" s="153">
        <v>-2</v>
      </c>
      <c r="E4" s="153">
        <v>-3</v>
      </c>
      <c r="F4" s="153"/>
      <c r="G4" s="153">
        <v>-4</v>
      </c>
      <c r="H4" s="153"/>
      <c r="I4" s="154"/>
      <c r="J4" s="155"/>
    </row>
    <row r="5" spans="1:10" s="159" customFormat="1" ht="69" customHeight="1">
      <c r="A5" s="176"/>
      <c r="B5" s="230" t="s">
        <v>67</v>
      </c>
      <c r="C5" s="176"/>
      <c r="D5" s="207" t="s">
        <v>94</v>
      </c>
      <c r="E5" s="216" t="s">
        <v>145</v>
      </c>
      <c r="F5" s="176"/>
      <c r="G5" s="176" t="s">
        <v>79</v>
      </c>
      <c r="H5" s="157"/>
      <c r="I5" s="230" t="s">
        <v>80</v>
      </c>
      <c r="J5" s="158"/>
    </row>
    <row r="6" spans="1:10" s="266" customFormat="1" ht="12.75">
      <c r="A6" s="261"/>
      <c r="B6" s="309"/>
      <c r="C6" s="265"/>
      <c r="D6" s="217"/>
      <c r="E6" s="264"/>
      <c r="F6" s="265"/>
      <c r="G6" s="261"/>
      <c r="H6" s="261"/>
      <c r="I6" s="263" t="s">
        <v>143</v>
      </c>
      <c r="J6" s="262"/>
    </row>
    <row r="7" spans="1:10" s="163" customFormat="1" ht="9" customHeight="1">
      <c r="A7" s="161"/>
      <c r="B7" s="160"/>
      <c r="C7" s="161"/>
      <c r="D7" s="218"/>
      <c r="E7" s="160"/>
      <c r="F7" s="161"/>
      <c r="G7" s="161"/>
      <c r="H7" s="161"/>
      <c r="I7" s="164"/>
      <c r="J7" s="162"/>
    </row>
    <row r="8" spans="1:10" ht="15">
      <c r="A8" s="149" t="s">
        <v>0</v>
      </c>
      <c r="B8" s="310">
        <v>6670</v>
      </c>
      <c r="C8" s="149"/>
      <c r="D8" s="219">
        <v>191</v>
      </c>
      <c r="E8" s="165">
        <f>B8+D8</f>
        <v>6861</v>
      </c>
      <c r="F8" s="149"/>
      <c r="G8" s="149">
        <v>115</v>
      </c>
      <c r="H8" s="149"/>
      <c r="I8" s="166">
        <f>E8+G8</f>
        <v>6976</v>
      </c>
      <c r="J8" s="167"/>
    </row>
    <row r="9" spans="1:10" ht="15">
      <c r="A9" s="149" t="s">
        <v>1</v>
      </c>
      <c r="B9" s="310">
        <v>3057</v>
      </c>
      <c r="C9" s="149"/>
      <c r="D9" s="219">
        <v>193</v>
      </c>
      <c r="E9" s="165">
        <f aca="true" t="shared" si="0" ref="E9:E30">B9+D9</f>
        <v>3250</v>
      </c>
      <c r="F9" s="149"/>
      <c r="G9" s="149">
        <v>8</v>
      </c>
      <c r="H9" s="149"/>
      <c r="I9" s="166">
        <f aca="true" t="shared" si="1" ref="I9:I30">E9+G9</f>
        <v>3258</v>
      </c>
      <c r="J9" s="167"/>
    </row>
    <row r="10" spans="1:10" ht="15">
      <c r="A10" s="149" t="s">
        <v>2</v>
      </c>
      <c r="B10" s="310">
        <v>13959</v>
      </c>
      <c r="C10" s="149"/>
      <c r="D10" s="219">
        <v>234</v>
      </c>
      <c r="E10" s="165">
        <f t="shared" si="0"/>
        <v>14193</v>
      </c>
      <c r="F10" s="149"/>
      <c r="G10" s="149">
        <v>490</v>
      </c>
      <c r="H10" s="149"/>
      <c r="I10" s="166">
        <f t="shared" si="1"/>
        <v>14683</v>
      </c>
      <c r="J10" s="167"/>
    </row>
    <row r="11" spans="1:10" ht="15">
      <c r="A11" s="149" t="s">
        <v>3</v>
      </c>
      <c r="B11" s="310">
        <v>9057</v>
      </c>
      <c r="C11" s="149"/>
      <c r="D11" s="219">
        <v>368</v>
      </c>
      <c r="E11" s="165">
        <f t="shared" si="0"/>
        <v>9425</v>
      </c>
      <c r="F11" s="149"/>
      <c r="G11" s="149">
        <v>112</v>
      </c>
      <c r="H11" s="149"/>
      <c r="I11" s="166">
        <f t="shared" si="1"/>
        <v>9537</v>
      </c>
      <c r="J11" s="167"/>
    </row>
    <row r="12" spans="1:10" ht="15">
      <c r="A12" s="149" t="s">
        <v>29</v>
      </c>
      <c r="B12" s="310">
        <v>11162</v>
      </c>
      <c r="C12" s="149"/>
      <c r="D12" s="219">
        <v>138</v>
      </c>
      <c r="E12" s="165">
        <f t="shared" si="0"/>
        <v>11300</v>
      </c>
      <c r="F12" s="149"/>
      <c r="G12" s="149">
        <v>1167</v>
      </c>
      <c r="H12" s="149"/>
      <c r="I12" s="166">
        <f t="shared" si="1"/>
        <v>12467</v>
      </c>
      <c r="J12" s="167"/>
    </row>
    <row r="13" spans="1:10" ht="15">
      <c r="A13" s="149" t="s">
        <v>4</v>
      </c>
      <c r="B13" s="310">
        <v>17255</v>
      </c>
      <c r="C13" s="149"/>
      <c r="D13" s="219">
        <v>312</v>
      </c>
      <c r="E13" s="165">
        <f t="shared" si="0"/>
        <v>17567</v>
      </c>
      <c r="F13" s="149"/>
      <c r="G13" s="149">
        <v>438</v>
      </c>
      <c r="H13" s="149"/>
      <c r="I13" s="166">
        <f t="shared" si="1"/>
        <v>18005</v>
      </c>
      <c r="J13" s="167"/>
    </row>
    <row r="14" spans="1:10" ht="15">
      <c r="A14" s="149" t="s">
        <v>5</v>
      </c>
      <c r="B14" s="310">
        <v>25598</v>
      </c>
      <c r="C14" s="149"/>
      <c r="D14" s="219">
        <v>1277</v>
      </c>
      <c r="E14" s="165">
        <f t="shared" si="0"/>
        <v>26875</v>
      </c>
      <c r="F14" s="149"/>
      <c r="G14" s="149">
        <v>829</v>
      </c>
      <c r="H14" s="149"/>
      <c r="I14" s="166">
        <f t="shared" si="1"/>
        <v>27704</v>
      </c>
      <c r="J14" s="167"/>
    </row>
    <row r="15" spans="1:10" ht="15">
      <c r="A15" s="149" t="s">
        <v>6</v>
      </c>
      <c r="B15" s="310">
        <v>6814</v>
      </c>
      <c r="C15" s="149"/>
      <c r="D15" s="219">
        <v>186</v>
      </c>
      <c r="E15" s="165">
        <f t="shared" si="0"/>
        <v>7000</v>
      </c>
      <c r="F15" s="149"/>
      <c r="G15" s="149">
        <v>248</v>
      </c>
      <c r="H15" s="149"/>
      <c r="I15" s="166">
        <f t="shared" si="1"/>
        <v>7248</v>
      </c>
      <c r="J15" s="167"/>
    </row>
    <row r="16" spans="1:10" ht="15">
      <c r="A16" s="149" t="s">
        <v>7</v>
      </c>
      <c r="B16" s="310">
        <v>26454</v>
      </c>
      <c r="C16" s="149"/>
      <c r="D16" s="219">
        <v>421</v>
      </c>
      <c r="E16" s="165">
        <f t="shared" si="0"/>
        <v>26875</v>
      </c>
      <c r="F16" s="149"/>
      <c r="G16" s="149">
        <v>1093</v>
      </c>
      <c r="H16" s="149"/>
      <c r="I16" s="166">
        <f t="shared" si="1"/>
        <v>27968</v>
      </c>
      <c r="J16" s="167"/>
    </row>
    <row r="17" spans="1:10" ht="15">
      <c r="A17" s="149" t="s">
        <v>8</v>
      </c>
      <c r="B17" s="310">
        <v>16131</v>
      </c>
      <c r="C17" s="149"/>
      <c r="D17" s="219">
        <v>219</v>
      </c>
      <c r="E17" s="165">
        <f t="shared" si="0"/>
        <v>16350</v>
      </c>
      <c r="F17" s="149"/>
      <c r="G17" s="149">
        <v>781</v>
      </c>
      <c r="H17" s="149"/>
      <c r="I17" s="166">
        <f t="shared" si="1"/>
        <v>17131</v>
      </c>
      <c r="J17" s="167"/>
    </row>
    <row r="18" spans="1:10" ht="15">
      <c r="A18" s="149" t="s">
        <v>9</v>
      </c>
      <c r="B18" s="310">
        <v>950</v>
      </c>
      <c r="C18" s="149"/>
      <c r="D18" s="219">
        <v>75</v>
      </c>
      <c r="E18" s="165">
        <f t="shared" si="0"/>
        <v>1025</v>
      </c>
      <c r="F18" s="149"/>
      <c r="G18" s="149">
        <v>30</v>
      </c>
      <c r="H18" s="149"/>
      <c r="I18" s="166">
        <f t="shared" si="1"/>
        <v>1055</v>
      </c>
      <c r="J18" s="167"/>
    </row>
    <row r="19" spans="1:10" ht="15">
      <c r="A19" s="149" t="s">
        <v>10</v>
      </c>
      <c r="B19" s="310">
        <v>3900</v>
      </c>
      <c r="C19" s="149"/>
      <c r="D19" s="219">
        <v>600</v>
      </c>
      <c r="E19" s="165">
        <f t="shared" si="0"/>
        <v>4500</v>
      </c>
      <c r="F19" s="149"/>
      <c r="G19" s="149">
        <v>83</v>
      </c>
      <c r="H19" s="149"/>
      <c r="I19" s="166">
        <f t="shared" si="1"/>
        <v>4583</v>
      </c>
      <c r="J19" s="167"/>
    </row>
    <row r="20" spans="1:10" ht="15">
      <c r="A20" s="149" t="s">
        <v>11</v>
      </c>
      <c r="B20" s="310">
        <v>24226</v>
      </c>
      <c r="C20" s="149"/>
      <c r="D20" s="219">
        <v>1044</v>
      </c>
      <c r="E20" s="165">
        <f t="shared" si="0"/>
        <v>25270</v>
      </c>
      <c r="F20" s="149"/>
      <c r="G20" s="149">
        <v>1482</v>
      </c>
      <c r="H20" s="149"/>
      <c r="I20" s="166">
        <f t="shared" si="1"/>
        <v>26752</v>
      </c>
      <c r="J20" s="167"/>
    </row>
    <row r="21" spans="1:10" ht="15">
      <c r="A21" s="149" t="s">
        <v>12</v>
      </c>
      <c r="B21" s="310">
        <v>16905</v>
      </c>
      <c r="C21" s="149"/>
      <c r="D21" s="219">
        <v>245</v>
      </c>
      <c r="E21" s="165">
        <f t="shared" si="0"/>
        <v>17150</v>
      </c>
      <c r="F21" s="149"/>
      <c r="G21" s="149">
        <v>605</v>
      </c>
      <c r="H21" s="149"/>
      <c r="I21" s="166">
        <f t="shared" si="1"/>
        <v>17755</v>
      </c>
      <c r="J21" s="167"/>
    </row>
    <row r="22" spans="1:10" ht="15">
      <c r="A22" s="149" t="s">
        <v>13</v>
      </c>
      <c r="B22" s="310">
        <v>21625</v>
      </c>
      <c r="C22" s="149"/>
      <c r="D22" s="219">
        <v>0</v>
      </c>
      <c r="E22" s="165">
        <f t="shared" si="0"/>
        <v>21625</v>
      </c>
      <c r="F22" s="149"/>
      <c r="G22" s="149">
        <v>461</v>
      </c>
      <c r="H22" s="149"/>
      <c r="I22" s="166">
        <f t="shared" si="1"/>
        <v>22086</v>
      </c>
      <c r="J22" s="167"/>
    </row>
    <row r="23" spans="1:10" ht="15">
      <c r="A23" s="149" t="s">
        <v>14</v>
      </c>
      <c r="B23" s="310">
        <v>13678</v>
      </c>
      <c r="C23" s="149"/>
      <c r="D23" s="219">
        <v>172</v>
      </c>
      <c r="E23" s="165">
        <f t="shared" si="0"/>
        <v>13850</v>
      </c>
      <c r="F23" s="149"/>
      <c r="G23" s="149">
        <v>539</v>
      </c>
      <c r="H23" s="149"/>
      <c r="I23" s="166">
        <f t="shared" si="1"/>
        <v>14389</v>
      </c>
      <c r="J23" s="167"/>
    </row>
    <row r="24" spans="1:10" ht="15">
      <c r="A24" s="149" t="s">
        <v>15</v>
      </c>
      <c r="B24" s="310">
        <v>26641</v>
      </c>
      <c r="C24" s="149"/>
      <c r="D24" s="219">
        <v>-727</v>
      </c>
      <c r="E24" s="165">
        <f t="shared" si="0"/>
        <v>25914</v>
      </c>
      <c r="F24" s="149"/>
      <c r="G24" s="149">
        <v>1721</v>
      </c>
      <c r="H24" s="149"/>
      <c r="I24" s="166">
        <f t="shared" si="1"/>
        <v>27635</v>
      </c>
      <c r="J24" s="167"/>
    </row>
    <row r="25" spans="1:10" ht="15">
      <c r="A25" s="149" t="s">
        <v>16</v>
      </c>
      <c r="B25" s="310">
        <v>22044</v>
      </c>
      <c r="C25" s="149"/>
      <c r="D25" s="219">
        <v>756</v>
      </c>
      <c r="E25" s="165">
        <f t="shared" si="0"/>
        <v>22800</v>
      </c>
      <c r="F25" s="149"/>
      <c r="G25" s="149">
        <v>1754</v>
      </c>
      <c r="H25" s="149"/>
      <c r="I25" s="166">
        <f t="shared" si="1"/>
        <v>24554</v>
      </c>
      <c r="J25" s="167"/>
    </row>
    <row r="26" spans="1:10" ht="15">
      <c r="A26" s="149" t="s">
        <v>17</v>
      </c>
      <c r="B26" s="310">
        <v>21145</v>
      </c>
      <c r="C26" s="149"/>
      <c r="D26" s="219">
        <v>-100</v>
      </c>
      <c r="E26" s="165">
        <f t="shared" si="0"/>
        <v>21045</v>
      </c>
      <c r="F26" s="149"/>
      <c r="G26" s="149">
        <v>1441</v>
      </c>
      <c r="H26" s="149"/>
      <c r="I26" s="166">
        <f t="shared" si="1"/>
        <v>22486</v>
      </c>
      <c r="J26" s="167"/>
    </row>
    <row r="27" spans="1:10" ht="15">
      <c r="A27" s="149" t="s">
        <v>18</v>
      </c>
      <c r="B27" s="310">
        <v>16463</v>
      </c>
      <c r="C27" s="149"/>
      <c r="D27" s="219">
        <v>-463</v>
      </c>
      <c r="E27" s="165">
        <f t="shared" si="0"/>
        <v>16000</v>
      </c>
      <c r="F27" s="149"/>
      <c r="G27" s="149">
        <v>798</v>
      </c>
      <c r="H27" s="149"/>
      <c r="I27" s="166">
        <f t="shared" si="1"/>
        <v>16798</v>
      </c>
      <c r="J27" s="167"/>
    </row>
    <row r="28" spans="1:10" ht="15">
      <c r="A28" s="149" t="s">
        <v>19</v>
      </c>
      <c r="B28" s="310">
        <v>7055</v>
      </c>
      <c r="C28" s="149"/>
      <c r="D28" s="219">
        <v>345</v>
      </c>
      <c r="E28" s="165">
        <f t="shared" si="0"/>
        <v>7400</v>
      </c>
      <c r="F28" s="149"/>
      <c r="G28" s="149">
        <v>106</v>
      </c>
      <c r="H28" s="149"/>
      <c r="I28" s="166">
        <f t="shared" si="1"/>
        <v>7506</v>
      </c>
      <c r="J28" s="167"/>
    </row>
    <row r="29" spans="1:10" ht="15">
      <c r="A29" s="149" t="s">
        <v>20</v>
      </c>
      <c r="B29" s="310">
        <v>7266</v>
      </c>
      <c r="C29" s="149"/>
      <c r="D29" s="219">
        <v>184</v>
      </c>
      <c r="E29" s="165">
        <f t="shared" si="0"/>
        <v>7450</v>
      </c>
      <c r="F29" s="149"/>
      <c r="G29" s="149">
        <v>83</v>
      </c>
      <c r="H29" s="149"/>
      <c r="I29" s="166">
        <f t="shared" si="1"/>
        <v>7533</v>
      </c>
      <c r="J29" s="167"/>
    </row>
    <row r="30" spans="1:10" ht="15">
      <c r="A30" s="149" t="s">
        <v>21</v>
      </c>
      <c r="B30" s="310">
        <v>6869</v>
      </c>
      <c r="C30" s="149"/>
      <c r="D30" s="219">
        <v>-154</v>
      </c>
      <c r="E30" s="165">
        <f t="shared" si="0"/>
        <v>6715</v>
      </c>
      <c r="F30" s="149"/>
      <c r="G30" s="149">
        <v>116</v>
      </c>
      <c r="H30" s="149"/>
      <c r="I30" s="166">
        <f t="shared" si="1"/>
        <v>6831</v>
      </c>
      <c r="J30" s="167"/>
    </row>
    <row r="31" spans="1:10" ht="9" customHeight="1">
      <c r="A31" s="187"/>
      <c r="B31" s="188"/>
      <c r="C31" s="187"/>
      <c r="D31" s="220"/>
      <c r="E31" s="188"/>
      <c r="F31" s="187"/>
      <c r="G31" s="187"/>
      <c r="H31" s="187"/>
      <c r="I31" s="188"/>
      <c r="J31" s="167"/>
    </row>
    <row r="32" spans="1:10" s="144" customFormat="1" ht="18.75" customHeight="1" thickBot="1">
      <c r="A32" s="169" t="s">
        <v>22</v>
      </c>
      <c r="B32" s="168">
        <f>SUM(B8:B30)</f>
        <v>324924</v>
      </c>
      <c r="C32" s="169"/>
      <c r="D32" s="221">
        <f>SUM(D8:D30)</f>
        <v>5516</v>
      </c>
      <c r="E32" s="168">
        <f>SUM(E8:E30)</f>
        <v>330440</v>
      </c>
      <c r="F32" s="169"/>
      <c r="G32" s="169">
        <f>SUM(G8:G30)</f>
        <v>14500</v>
      </c>
      <c r="H32" s="169"/>
      <c r="I32" s="168">
        <f>SUM(I8:I30)</f>
        <v>344940</v>
      </c>
      <c r="J32" s="170"/>
    </row>
    <row r="33" spans="1:10" ht="9" customHeight="1" thickTop="1">
      <c r="A33" s="149"/>
      <c r="B33" s="165"/>
      <c r="C33" s="149"/>
      <c r="D33" s="219"/>
      <c r="E33" s="165"/>
      <c r="F33" s="149"/>
      <c r="G33" s="149"/>
      <c r="H33" s="149"/>
      <c r="I33" s="166"/>
      <c r="J33" s="167"/>
    </row>
    <row r="34" spans="1:10" ht="15">
      <c r="A34" s="149" t="s">
        <v>23</v>
      </c>
      <c r="B34" s="310">
        <v>0</v>
      </c>
      <c r="C34" s="149"/>
      <c r="D34" s="219">
        <v>0</v>
      </c>
      <c r="E34" s="165">
        <f>B34+D34</f>
        <v>0</v>
      </c>
      <c r="F34" s="149"/>
      <c r="G34" s="149">
        <v>0</v>
      </c>
      <c r="H34" s="149"/>
      <c r="I34" s="166">
        <f>E34+G34</f>
        <v>0</v>
      </c>
      <c r="J34" s="167"/>
    </row>
    <row r="35" spans="1:10" ht="15">
      <c r="A35" s="149" t="s">
        <v>30</v>
      </c>
      <c r="B35" s="310">
        <v>650</v>
      </c>
      <c r="C35" s="149"/>
      <c r="D35" s="219">
        <f>E35-B35</f>
        <v>-50</v>
      </c>
      <c r="E35" s="165">
        <v>600</v>
      </c>
      <c r="F35" s="149"/>
      <c r="G35" s="149">
        <v>0</v>
      </c>
      <c r="H35" s="149"/>
      <c r="I35" s="166">
        <f>E35+G35</f>
        <v>600</v>
      </c>
      <c r="J35" s="167"/>
    </row>
    <row r="36" spans="1:10" ht="15">
      <c r="A36" s="149" t="s">
        <v>24</v>
      </c>
      <c r="B36" s="310">
        <v>665</v>
      </c>
      <c r="C36" s="149"/>
      <c r="D36" s="219">
        <f>E36-B36</f>
        <v>-40</v>
      </c>
      <c r="E36" s="165">
        <v>625</v>
      </c>
      <c r="F36" s="149"/>
      <c r="G36" s="149">
        <v>7</v>
      </c>
      <c r="H36" s="149"/>
      <c r="I36" s="166">
        <f>E36+G36</f>
        <v>632</v>
      </c>
      <c r="J36" s="167"/>
    </row>
    <row r="37" spans="1:10" ht="15">
      <c r="A37" s="149" t="s">
        <v>25</v>
      </c>
      <c r="B37" s="310">
        <v>51</v>
      </c>
      <c r="C37" s="149"/>
      <c r="D37" s="219">
        <v>0</v>
      </c>
      <c r="E37" s="165">
        <f>B37+D37</f>
        <v>51</v>
      </c>
      <c r="F37" s="149"/>
      <c r="G37" s="149">
        <v>2</v>
      </c>
      <c r="H37" s="149"/>
      <c r="I37" s="166">
        <f>E37+G37</f>
        <v>53</v>
      </c>
      <c r="J37" s="167"/>
    </row>
    <row r="38" spans="1:10" ht="15">
      <c r="A38" s="149" t="s">
        <v>26</v>
      </c>
      <c r="B38" s="310">
        <v>0</v>
      </c>
      <c r="C38" s="149"/>
      <c r="D38" s="219">
        <v>0</v>
      </c>
      <c r="E38" s="165">
        <f>B38+D38</f>
        <v>0</v>
      </c>
      <c r="F38" s="149"/>
      <c r="G38" s="149">
        <v>0</v>
      </c>
      <c r="H38" s="149"/>
      <c r="I38" s="166">
        <f>E38+G38</f>
        <v>0</v>
      </c>
      <c r="J38" s="167"/>
    </row>
    <row r="39" spans="1:10" ht="9" customHeight="1">
      <c r="A39" s="149"/>
      <c r="B39" s="188"/>
      <c r="C39" s="149"/>
      <c r="D39" s="219"/>
      <c r="E39" s="165"/>
      <c r="F39" s="190"/>
      <c r="G39" s="149"/>
      <c r="H39" s="149"/>
      <c r="I39" s="166"/>
      <c r="J39" s="167"/>
    </row>
    <row r="40" spans="1:10" s="144" customFormat="1" ht="22.5" customHeight="1" thickBot="1">
      <c r="A40" s="172" t="s">
        <v>27</v>
      </c>
      <c r="B40" s="173">
        <f>SUM(B34:B38,B32)</f>
        <v>326290</v>
      </c>
      <c r="C40" s="173"/>
      <c r="D40" s="222">
        <f>SUM(D34:D38,D32)</f>
        <v>5426</v>
      </c>
      <c r="E40" s="171">
        <f>SUM(E34:E38,E32)</f>
        <v>331716</v>
      </c>
      <c r="F40" s="189"/>
      <c r="G40" s="172">
        <f>SUM(G32:G38)</f>
        <v>14509</v>
      </c>
      <c r="H40" s="172"/>
      <c r="I40" s="171">
        <f>SUM(I32:I38)</f>
        <v>346225</v>
      </c>
      <c r="J40" s="170"/>
    </row>
    <row r="41" spans="1:2" ht="12.75">
      <c r="A41" s="144"/>
      <c r="B41" s="144"/>
    </row>
    <row r="42" spans="1:10" s="174" customFormat="1" ht="18" customHeight="1">
      <c r="A42" s="471" t="s">
        <v>84</v>
      </c>
      <c r="B42" s="471"/>
      <c r="C42" s="471"/>
      <c r="D42" s="471"/>
      <c r="E42" s="471"/>
      <c r="F42" s="471"/>
      <c r="G42" s="471"/>
      <c r="H42" s="471"/>
      <c r="I42" s="471"/>
      <c r="J42" s="471"/>
    </row>
    <row r="43" spans="1:10" s="174" customFormat="1" ht="18" customHeight="1">
      <c r="A43" s="229" t="s">
        <v>93</v>
      </c>
      <c r="B43" s="143"/>
      <c r="C43" s="143"/>
      <c r="D43" s="143"/>
      <c r="E43" s="143"/>
      <c r="F43" s="143"/>
      <c r="G43" s="143"/>
      <c r="H43" s="143"/>
      <c r="I43" s="144"/>
      <c r="J43" s="143"/>
    </row>
    <row r="44" spans="1:9" ht="27.75" customHeight="1">
      <c r="A44" s="472" t="s">
        <v>132</v>
      </c>
      <c r="B44" s="472"/>
      <c r="C44" s="472"/>
      <c r="D44" s="472"/>
      <c r="E44" s="472"/>
      <c r="F44" s="472"/>
      <c r="G44" s="472"/>
      <c r="H44" s="472"/>
      <c r="I44" s="472"/>
    </row>
  </sheetData>
  <sheetProtection/>
  <mergeCells count="3">
    <mergeCell ref="B3:F3"/>
    <mergeCell ref="A42:J42"/>
    <mergeCell ref="A44:I44"/>
  </mergeCells>
  <printOptions horizontalCentered="1"/>
  <pageMargins left="0.5" right="0.5" top="0.5" bottom="0.75" header="0.5" footer="0.5"/>
  <pageSetup fitToHeight="1" fitToWidth="1" horizontalDpi="600" verticalDpi="600" orientation="landscape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PageLayoutView="0" workbookViewId="0" topLeftCell="A1">
      <pane xSplit="2" ySplit="7" topLeftCell="C1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E5" sqref="E5:F5"/>
    </sheetView>
  </sheetViews>
  <sheetFormatPr defaultColWidth="10" defaultRowHeight="12.75"/>
  <cols>
    <col min="1" max="1" width="1.5" style="88" customWidth="1"/>
    <col min="2" max="2" width="18.5" style="87" customWidth="1"/>
    <col min="3" max="3" width="13.83203125" style="87" customWidth="1"/>
    <col min="4" max="4" width="9.83203125" style="87" bestFit="1" customWidth="1"/>
    <col min="5" max="5" width="13.83203125" style="87" customWidth="1"/>
    <col min="6" max="6" width="9.83203125" style="88" bestFit="1" customWidth="1"/>
    <col min="7" max="7" width="13.83203125" style="87" customWidth="1"/>
    <col min="8" max="8" width="11" style="87" bestFit="1" customWidth="1"/>
    <col min="9" max="9" width="13.83203125" style="87" customWidth="1"/>
    <col min="10" max="10" width="11" style="87" bestFit="1" customWidth="1"/>
    <col min="11" max="11" width="2.33203125" style="87" customWidth="1"/>
    <col min="12" max="12" width="16.83203125" style="87" bestFit="1" customWidth="1"/>
    <col min="13" max="13" width="2.5" style="87" customWidth="1"/>
    <col min="14" max="14" width="2.33203125" style="87" customWidth="1"/>
    <col min="15" max="15" width="13.5" style="87" customWidth="1"/>
    <col min="16" max="16384" width="10" style="87" customWidth="1"/>
  </cols>
  <sheetData>
    <row r="1" ht="16.5">
      <c r="A1" s="86" t="s">
        <v>184</v>
      </c>
    </row>
    <row r="2" spans="1:2" ht="15.75" customHeight="1">
      <c r="A2" s="319"/>
      <c r="B2" s="178"/>
    </row>
    <row r="3" spans="3:12" ht="14.25" customHeight="1">
      <c r="C3" s="89">
        <v>-1</v>
      </c>
      <c r="D3" s="89"/>
      <c r="E3" s="89"/>
      <c r="F3" s="89"/>
      <c r="G3" s="89"/>
      <c r="H3" s="89"/>
      <c r="I3" s="89">
        <v>-2</v>
      </c>
      <c r="L3" s="89">
        <v>-3</v>
      </c>
    </row>
    <row r="4" spans="1:14" ht="36.75" customHeight="1">
      <c r="A4" s="90"/>
      <c r="B4" s="91"/>
      <c r="C4" s="92"/>
      <c r="D4" s="92"/>
      <c r="E4" s="473" t="s">
        <v>202</v>
      </c>
      <c r="F4" s="474"/>
      <c r="G4" s="474"/>
      <c r="H4" s="474"/>
      <c r="I4" s="474"/>
      <c r="J4" s="474"/>
      <c r="K4" s="474"/>
      <c r="L4" s="474"/>
      <c r="M4" s="475"/>
      <c r="N4" s="205"/>
    </row>
    <row r="5" spans="1:15" s="97" customFormat="1" ht="75.75" customHeight="1" thickBot="1">
      <c r="A5" s="93"/>
      <c r="B5" s="94" t="s">
        <v>34</v>
      </c>
      <c r="C5" s="95" t="s">
        <v>83</v>
      </c>
      <c r="D5" s="96"/>
      <c r="E5" s="476" t="s">
        <v>81</v>
      </c>
      <c r="F5" s="477"/>
      <c r="G5" s="204" t="s">
        <v>82</v>
      </c>
      <c r="H5" s="424"/>
      <c r="I5" s="478" t="s">
        <v>200</v>
      </c>
      <c r="J5" s="479"/>
      <c r="K5" s="480" t="s">
        <v>201</v>
      </c>
      <c r="L5" s="481"/>
      <c r="M5" s="482"/>
      <c r="N5" s="98"/>
      <c r="O5" s="138"/>
    </row>
    <row r="6" spans="1:15" s="275" customFormat="1" ht="15">
      <c r="A6" s="267"/>
      <c r="B6" s="268"/>
      <c r="C6" s="269" t="s">
        <v>42</v>
      </c>
      <c r="D6" s="270" t="s">
        <v>43</v>
      </c>
      <c r="E6" s="271" t="s">
        <v>42</v>
      </c>
      <c r="F6" s="272" t="s">
        <v>43</v>
      </c>
      <c r="G6" s="271" t="s">
        <v>42</v>
      </c>
      <c r="H6" s="270" t="s">
        <v>43</v>
      </c>
      <c r="I6" s="271" t="s">
        <v>42</v>
      </c>
      <c r="J6" s="272" t="s">
        <v>43</v>
      </c>
      <c r="K6" s="271"/>
      <c r="L6" s="273" t="s">
        <v>64</v>
      </c>
      <c r="M6" s="274"/>
      <c r="N6" s="268"/>
      <c r="O6" s="268"/>
    </row>
    <row r="7" spans="1:15" ht="9" customHeight="1">
      <c r="A7" s="101"/>
      <c r="B7" s="99"/>
      <c r="C7" s="104"/>
      <c r="D7" s="99"/>
      <c r="E7" s="104"/>
      <c r="F7" s="102"/>
      <c r="G7" s="104"/>
      <c r="H7" s="100"/>
      <c r="I7" s="425"/>
      <c r="J7" s="102"/>
      <c r="K7" s="101"/>
      <c r="L7" s="178"/>
      <c r="M7" s="103"/>
      <c r="N7" s="99"/>
      <c r="O7" s="99"/>
    </row>
    <row r="8" spans="1:15" ht="15">
      <c r="A8" s="105"/>
      <c r="B8" s="99" t="s">
        <v>44</v>
      </c>
      <c r="C8" s="106">
        <v>11423800</v>
      </c>
      <c r="D8" s="107">
        <f aca="true" t="shared" si="0" ref="D8:D30">C8/$C$32</f>
        <v>0.024179821094977308</v>
      </c>
      <c r="E8" s="421">
        <f>ROUND(16157103*1.12/100,0)*100</f>
        <v>18096000</v>
      </c>
      <c r="F8" s="108">
        <f aca="true" t="shared" si="1" ref="F8:F30">E8/$E$32</f>
        <v>0.02507644115745735</v>
      </c>
      <c r="G8" s="421">
        <f>ROUND(16240266/100,0)*100</f>
        <v>16240300</v>
      </c>
      <c r="H8" s="111">
        <f aca="true" t="shared" si="2" ref="H8:H30">G8/$G$32</f>
        <v>0.025273985798896868</v>
      </c>
      <c r="I8" s="110">
        <f aca="true" t="shared" si="3" ref="I8:I22">ROUND((625834800)*J8/100,0)*100</f>
        <v>15817300</v>
      </c>
      <c r="J8" s="109">
        <f>H8</f>
        <v>0.025273985798896868</v>
      </c>
      <c r="K8" s="112"/>
      <c r="L8" s="113">
        <f>I8-C8</f>
        <v>4393500</v>
      </c>
      <c r="M8" s="103"/>
      <c r="N8" s="99"/>
      <c r="O8" s="115"/>
    </row>
    <row r="9" spans="1:15" ht="15">
      <c r="A9" s="105"/>
      <c r="B9" s="99" t="s">
        <v>1</v>
      </c>
      <c r="C9" s="315">
        <v>3352100</v>
      </c>
      <c r="D9" s="107">
        <f t="shared" si="0"/>
        <v>0.007095115311233866</v>
      </c>
      <c r="E9" s="422">
        <f>ROUND(5046575*1.12/100,0)*100</f>
        <v>5652200</v>
      </c>
      <c r="F9" s="108">
        <f t="shared" si="1"/>
        <v>0.007832507775761518</v>
      </c>
      <c r="G9" s="423">
        <f>ROUND(6381881/100,0)*100</f>
        <v>6381900</v>
      </c>
      <c r="H9" s="111">
        <f t="shared" si="2"/>
        <v>0.009931839311464685</v>
      </c>
      <c r="I9" s="315">
        <f t="shared" si="3"/>
        <v>6215700</v>
      </c>
      <c r="J9" s="109">
        <f aca="true" t="shared" si="4" ref="J9:J30">H9</f>
        <v>0.009931839311464685</v>
      </c>
      <c r="K9" s="112"/>
      <c r="L9" s="116">
        <f aca="true" t="shared" si="5" ref="L9:L30">I9-C9</f>
        <v>2863600</v>
      </c>
      <c r="M9" s="103"/>
      <c r="N9" s="114"/>
      <c r="O9" s="115"/>
    </row>
    <row r="10" spans="1:15" ht="15">
      <c r="A10" s="105"/>
      <c r="B10" s="99" t="s">
        <v>45</v>
      </c>
      <c r="C10" s="315">
        <v>16348000</v>
      </c>
      <c r="D10" s="107">
        <f t="shared" si="0"/>
        <v>0.03460247161721047</v>
      </c>
      <c r="E10" s="422">
        <f>ROUND(23731705*1.12/100,0)*100</f>
        <v>26579500</v>
      </c>
      <c r="F10" s="108">
        <f t="shared" si="1"/>
        <v>0.036832408694995454</v>
      </c>
      <c r="G10" s="423">
        <f>ROUND(23285242/100,0)*100</f>
        <v>23285200</v>
      </c>
      <c r="H10" s="111">
        <f t="shared" si="2"/>
        <v>0.0362376196329177</v>
      </c>
      <c r="I10" s="315">
        <f t="shared" si="3"/>
        <v>22678800</v>
      </c>
      <c r="J10" s="109">
        <f t="shared" si="4"/>
        <v>0.0362376196329177</v>
      </c>
      <c r="K10" s="112"/>
      <c r="L10" s="116">
        <f t="shared" si="5"/>
        <v>6330800</v>
      </c>
      <c r="M10" s="103"/>
      <c r="N10" s="114"/>
      <c r="O10" s="115"/>
    </row>
    <row r="11" spans="1:15" ht="15">
      <c r="A11" s="105"/>
      <c r="B11" s="99" t="s">
        <v>46</v>
      </c>
      <c r="C11" s="316">
        <v>20905300</v>
      </c>
      <c r="D11" s="107">
        <f t="shared" si="0"/>
        <v>0.04424853498282788</v>
      </c>
      <c r="E11" s="422">
        <f>ROUND(28980086*1.12/100,0)*100</f>
        <v>32457700</v>
      </c>
      <c r="F11" s="108">
        <f t="shared" si="1"/>
        <v>0.04497809483622919</v>
      </c>
      <c r="G11" s="423">
        <f>ROUND(29679986/100,0)*100</f>
        <v>29680000</v>
      </c>
      <c r="H11" s="111">
        <f t="shared" si="2"/>
        <v>0.04618953458441402</v>
      </c>
      <c r="I11" s="315">
        <f t="shared" si="3"/>
        <v>28907000</v>
      </c>
      <c r="J11" s="109">
        <f>H11</f>
        <v>0.04618953458441402</v>
      </c>
      <c r="K11" s="112"/>
      <c r="L11" s="116">
        <f t="shared" si="5"/>
        <v>8001700</v>
      </c>
      <c r="M11" s="103"/>
      <c r="N11" s="114"/>
      <c r="O11" s="115"/>
    </row>
    <row r="12" spans="1:15" ht="15">
      <c r="A12" s="105"/>
      <c r="B12" s="99" t="s">
        <v>29</v>
      </c>
      <c r="C12" s="316">
        <v>15133700</v>
      </c>
      <c r="D12" s="107">
        <f t="shared" si="0"/>
        <v>0.032032262338718996</v>
      </c>
      <c r="E12" s="422">
        <f>ROUND(25011861*1.12/100,0)*100</f>
        <v>28013300</v>
      </c>
      <c r="F12" s="108">
        <f t="shared" si="1"/>
        <v>0.038819289847270115</v>
      </c>
      <c r="G12" s="423">
        <f>ROUND(22512087/100,0)*100</f>
        <v>22512100</v>
      </c>
      <c r="H12" s="111">
        <f t="shared" si="2"/>
        <v>0.03503448185706829</v>
      </c>
      <c r="I12" s="315">
        <f t="shared" si="3"/>
        <v>21925800</v>
      </c>
      <c r="J12" s="109">
        <f t="shared" si="4"/>
        <v>0.03503448185706829</v>
      </c>
      <c r="K12" s="112"/>
      <c r="L12" s="116">
        <f t="shared" si="5"/>
        <v>6792100</v>
      </c>
      <c r="M12" s="103"/>
      <c r="N12" s="114"/>
      <c r="O12" s="115"/>
    </row>
    <row r="13" spans="1:15" ht="15">
      <c r="A13" s="105"/>
      <c r="B13" s="99" t="s">
        <v>47</v>
      </c>
      <c r="C13" s="316">
        <v>27378900</v>
      </c>
      <c r="D13" s="107">
        <f t="shared" si="0"/>
        <v>0.05795067348669219</v>
      </c>
      <c r="E13" s="422">
        <f>ROUND(35121455*1.12/100,0)*100</f>
        <v>39336000</v>
      </c>
      <c r="F13" s="108">
        <f t="shared" si="1"/>
        <v>0.05450966453192652</v>
      </c>
      <c r="G13" s="423">
        <f>ROUND(35869939/100,0)*100</f>
        <v>35869900</v>
      </c>
      <c r="H13" s="111">
        <f t="shared" si="2"/>
        <v>0.055822573672152036</v>
      </c>
      <c r="I13" s="315">
        <f t="shared" si="3"/>
        <v>34935700</v>
      </c>
      <c r="J13" s="109">
        <f t="shared" si="4"/>
        <v>0.055822573672152036</v>
      </c>
      <c r="K13" s="112"/>
      <c r="L13" s="116">
        <f t="shared" si="5"/>
        <v>7556800</v>
      </c>
      <c r="M13" s="103"/>
      <c r="N13" s="114"/>
      <c r="O13" s="115"/>
    </row>
    <row r="14" spans="1:15" ht="15">
      <c r="A14" s="105"/>
      <c r="B14" s="99" t="s">
        <v>48</v>
      </c>
      <c r="C14" s="315">
        <v>34218100</v>
      </c>
      <c r="D14" s="107">
        <f t="shared" si="0"/>
        <v>0.07242664754372827</v>
      </c>
      <c r="E14" s="422">
        <f>ROUND(46197009*1.12/100,0)*100</f>
        <v>51740700</v>
      </c>
      <c r="F14" s="108">
        <f t="shared" si="1"/>
        <v>0.0716994152849057</v>
      </c>
      <c r="G14" s="423">
        <f>ROUND(46204196/100,0)*100</f>
        <v>46204200</v>
      </c>
      <c r="H14" s="111">
        <f t="shared" si="2"/>
        <v>0.07190534008912339</v>
      </c>
      <c r="I14" s="315">
        <f t="shared" si="3"/>
        <v>45000900</v>
      </c>
      <c r="J14" s="109">
        <f t="shared" si="4"/>
        <v>0.07190534008912339</v>
      </c>
      <c r="K14" s="112"/>
      <c r="L14" s="116">
        <f t="shared" si="5"/>
        <v>10782800</v>
      </c>
      <c r="M14" s="103"/>
      <c r="N14" s="114"/>
      <c r="O14" s="115"/>
    </row>
    <row r="15" spans="1:15" ht="15">
      <c r="A15" s="105"/>
      <c r="B15" s="99" t="s">
        <v>49</v>
      </c>
      <c r="C15" s="315">
        <v>11867000</v>
      </c>
      <c r="D15" s="107">
        <f t="shared" si="0"/>
        <v>0.025117906207575036</v>
      </c>
      <c r="E15" s="422">
        <f>ROUND(13960341*1.12/100,0)*100</f>
        <v>15635600</v>
      </c>
      <c r="F15" s="108">
        <f t="shared" si="1"/>
        <v>0.02166695420875001</v>
      </c>
      <c r="G15" s="423">
        <f>ROUND(15433886/100,0)*100</f>
        <v>15433900</v>
      </c>
      <c r="H15" s="111">
        <f t="shared" si="2"/>
        <v>0.024019024859244863</v>
      </c>
      <c r="I15" s="315">
        <f t="shared" si="3"/>
        <v>15031900</v>
      </c>
      <c r="J15" s="109">
        <f t="shared" si="4"/>
        <v>0.024019024859244863</v>
      </c>
      <c r="K15" s="112"/>
      <c r="L15" s="116">
        <f t="shared" si="5"/>
        <v>3164900</v>
      </c>
      <c r="M15" s="103"/>
      <c r="N15" s="114"/>
      <c r="O15" s="115"/>
    </row>
    <row r="16" spans="1:15" ht="15">
      <c r="A16" s="105"/>
      <c r="B16" s="99" t="s">
        <v>50</v>
      </c>
      <c r="C16" s="315">
        <v>39551900</v>
      </c>
      <c r="D16" s="107">
        <f t="shared" si="0"/>
        <v>0.08371626481262215</v>
      </c>
      <c r="E16" s="422">
        <f>ROUND(50506976*1.12/100,0)*100</f>
        <v>56567800</v>
      </c>
      <c r="F16" s="108">
        <f t="shared" si="1"/>
        <v>0.07838854487769761</v>
      </c>
      <c r="G16" s="423">
        <f>ROUND(51856296/100,0)*100</f>
        <v>51856300</v>
      </c>
      <c r="H16" s="111">
        <f t="shared" si="2"/>
        <v>0.0807014273001937</v>
      </c>
      <c r="I16" s="315">
        <f t="shared" si="3"/>
        <v>50505800</v>
      </c>
      <c r="J16" s="109">
        <f t="shared" si="4"/>
        <v>0.0807014273001937</v>
      </c>
      <c r="K16" s="112"/>
      <c r="L16" s="116">
        <f t="shared" si="5"/>
        <v>10953900</v>
      </c>
      <c r="M16" s="103"/>
      <c r="N16" s="114"/>
      <c r="O16" s="115"/>
    </row>
    <row r="17" spans="1:15" ht="15">
      <c r="A17" s="105"/>
      <c r="B17" s="99" t="s">
        <v>51</v>
      </c>
      <c r="C17" s="316">
        <v>32857800</v>
      </c>
      <c r="D17" s="107">
        <f t="shared" si="0"/>
        <v>0.06954741203229621</v>
      </c>
      <c r="E17" s="422">
        <f>ROUND(46720412*1.12/100,0)*100</f>
        <v>52326900</v>
      </c>
      <c r="F17" s="108">
        <f t="shared" si="1"/>
        <v>0.07251173899216154</v>
      </c>
      <c r="G17" s="423">
        <f>ROUND(43465449/100,0)*100</f>
        <v>43465400</v>
      </c>
      <c r="H17" s="111">
        <f t="shared" si="2"/>
        <v>0.0676430793977557</v>
      </c>
      <c r="I17" s="315">
        <f t="shared" si="3"/>
        <v>42333400</v>
      </c>
      <c r="J17" s="109">
        <f t="shared" si="4"/>
        <v>0.0676430793977557</v>
      </c>
      <c r="K17" s="112"/>
      <c r="L17" s="116">
        <f t="shared" si="5"/>
        <v>9475600</v>
      </c>
      <c r="M17" s="103"/>
      <c r="N17" s="114"/>
      <c r="O17" s="115"/>
    </row>
    <row r="18" spans="1:15" ht="15">
      <c r="A18" s="105"/>
      <c r="B18" s="99" t="s">
        <v>9</v>
      </c>
      <c r="C18" s="316">
        <v>863400</v>
      </c>
      <c r="D18" s="107">
        <f t="shared" si="0"/>
        <v>0.0018274880104171473</v>
      </c>
      <c r="E18" s="422">
        <f>ROUND(1318849*1.12/100,0)*100</f>
        <v>1477100</v>
      </c>
      <c r="F18" s="108">
        <f t="shared" si="1"/>
        <v>0.002046883909907176</v>
      </c>
      <c r="G18" s="423">
        <f>ROUND(1682738/100,0)*100</f>
        <v>1682700</v>
      </c>
      <c r="H18" s="111">
        <f t="shared" si="2"/>
        <v>0.002618703835754497</v>
      </c>
      <c r="I18" s="315">
        <f t="shared" si="3"/>
        <v>1638900</v>
      </c>
      <c r="J18" s="109">
        <f t="shared" si="4"/>
        <v>0.002618703835754497</v>
      </c>
      <c r="K18" s="112"/>
      <c r="L18" s="116">
        <f t="shared" si="5"/>
        <v>775500</v>
      </c>
      <c r="M18" s="103"/>
      <c r="N18" s="114"/>
      <c r="O18" s="115"/>
    </row>
    <row r="19" spans="1:15" ht="15">
      <c r="A19" s="105"/>
      <c r="B19" s="99" t="s">
        <v>10</v>
      </c>
      <c r="C19" s="316">
        <v>5139800</v>
      </c>
      <c r="D19" s="107">
        <f t="shared" si="0"/>
        <v>0.010878993370328995</v>
      </c>
      <c r="E19" s="422">
        <f>ROUND(6892350*1.12/100,0)*100</f>
        <v>7719400</v>
      </c>
      <c r="F19" s="108">
        <f t="shared" si="1"/>
        <v>0.01069711979834639</v>
      </c>
      <c r="G19" s="423">
        <f>ROUND(9215702/100,0)*100</f>
        <v>9215700</v>
      </c>
      <c r="H19" s="111">
        <f t="shared" si="2"/>
        <v>0.014341943863530467</v>
      </c>
      <c r="I19" s="315">
        <f t="shared" si="3"/>
        <v>8975700</v>
      </c>
      <c r="J19" s="109">
        <f t="shared" si="4"/>
        <v>0.014341943863530467</v>
      </c>
      <c r="K19" s="112"/>
      <c r="L19" s="116">
        <f t="shared" si="5"/>
        <v>3835900</v>
      </c>
      <c r="M19" s="103"/>
      <c r="N19" s="114"/>
      <c r="O19" s="115"/>
    </row>
    <row r="20" spans="1:15" ht="15">
      <c r="A20" s="105"/>
      <c r="B20" s="99" t="s">
        <v>52</v>
      </c>
      <c r="C20" s="316">
        <v>40451300</v>
      </c>
      <c r="D20" s="107">
        <f t="shared" si="0"/>
        <v>0.08561995107225753</v>
      </c>
      <c r="E20" s="422">
        <f>ROUND(54422197*1.12/100,0)*100</f>
        <v>60952900</v>
      </c>
      <c r="F20" s="108">
        <f t="shared" si="1"/>
        <v>0.08446517518934472</v>
      </c>
      <c r="G20" s="423">
        <f>ROUND(54317567/100,0)*100</f>
        <v>54317600</v>
      </c>
      <c r="H20" s="111">
        <f t="shared" si="2"/>
        <v>0.08453182829320643</v>
      </c>
      <c r="I20" s="315">
        <f t="shared" si="3"/>
        <v>52903000</v>
      </c>
      <c r="J20" s="109">
        <f t="shared" si="4"/>
        <v>0.08453182829320643</v>
      </c>
      <c r="K20" s="112"/>
      <c r="L20" s="116">
        <f t="shared" si="5"/>
        <v>12451700</v>
      </c>
      <c r="M20" s="103"/>
      <c r="N20" s="114"/>
      <c r="O20" s="115"/>
    </row>
    <row r="21" spans="1:15" ht="15">
      <c r="A21" s="105"/>
      <c r="B21" s="99" t="s">
        <v>53</v>
      </c>
      <c r="C21" s="316">
        <v>23132700</v>
      </c>
      <c r="D21" s="107">
        <f t="shared" si="0"/>
        <v>0.048963089991402295</v>
      </c>
      <c r="E21" s="422">
        <f>ROUND(32264958*1.12/100,0)*100</f>
        <v>36136800</v>
      </c>
      <c r="F21" s="108">
        <f t="shared" si="1"/>
        <v>0.05007638919202061</v>
      </c>
      <c r="G21" s="423">
        <f>ROUND(32033119/100,0)*100</f>
        <v>32033100</v>
      </c>
      <c r="H21" s="111">
        <f t="shared" si="2"/>
        <v>0.04985154920134746</v>
      </c>
      <c r="I21" s="315">
        <f t="shared" si="3"/>
        <v>31198800</v>
      </c>
      <c r="J21" s="109">
        <f t="shared" si="4"/>
        <v>0.04985154920134746</v>
      </c>
      <c r="K21" s="112"/>
      <c r="L21" s="116">
        <f t="shared" si="5"/>
        <v>8066100</v>
      </c>
      <c r="M21" s="103"/>
      <c r="N21" s="114"/>
      <c r="O21" s="115"/>
    </row>
    <row r="22" spans="1:15" ht="15">
      <c r="A22" s="105"/>
      <c r="B22" s="99" t="s">
        <v>54</v>
      </c>
      <c r="C22" s="316">
        <v>31134600</v>
      </c>
      <c r="D22" s="107">
        <f t="shared" si="0"/>
        <v>0.06590005583638374</v>
      </c>
      <c r="E22" s="422">
        <f>ROUND(43406108*1.12/100,0)*100</f>
        <v>48614800</v>
      </c>
      <c r="F22" s="108">
        <f t="shared" si="1"/>
        <v>0.06736771505203126</v>
      </c>
      <c r="G22" s="423">
        <f>ROUND(42392528/100,0)*100</f>
        <v>42392500</v>
      </c>
      <c r="H22" s="111">
        <f t="shared" si="2"/>
        <v>0.06597337752256642</v>
      </c>
      <c r="I22" s="315">
        <f t="shared" si="3"/>
        <v>41288400</v>
      </c>
      <c r="J22" s="109">
        <f t="shared" si="4"/>
        <v>0.06597337752256642</v>
      </c>
      <c r="K22" s="112"/>
      <c r="L22" s="116">
        <f t="shared" si="5"/>
        <v>10153800</v>
      </c>
      <c r="M22" s="103"/>
      <c r="N22" s="114"/>
      <c r="O22" s="115"/>
    </row>
    <row r="23" spans="1:15" ht="15">
      <c r="A23" s="105"/>
      <c r="B23" s="99" t="s">
        <v>55</v>
      </c>
      <c r="C23" s="316">
        <v>26941700</v>
      </c>
      <c r="D23" s="107">
        <f t="shared" si="0"/>
        <v>0.057025288082297496</v>
      </c>
      <c r="E23" s="422">
        <f>ROUND(33960229*1.12/100,0)*100</f>
        <v>38035500</v>
      </c>
      <c r="F23" s="108">
        <f t="shared" si="1"/>
        <v>0.05270750318548127</v>
      </c>
      <c r="G23" s="423">
        <f>ROUND(35056403/100,0)*100</f>
        <v>35056400</v>
      </c>
      <c r="H23" s="111">
        <f t="shared" si="2"/>
        <v>0.05455656334922681</v>
      </c>
      <c r="I23" s="315">
        <f>ROUND((625834800)*J23/100,0)*100-100</f>
        <v>34143300</v>
      </c>
      <c r="J23" s="109">
        <f t="shared" si="4"/>
        <v>0.05455656334922681</v>
      </c>
      <c r="K23" s="112"/>
      <c r="L23" s="116">
        <f t="shared" si="5"/>
        <v>7201600</v>
      </c>
      <c r="M23" s="103"/>
      <c r="N23" s="114"/>
      <c r="O23" s="115"/>
    </row>
    <row r="24" spans="1:15" ht="15">
      <c r="A24" s="105"/>
      <c r="B24" s="99" t="s">
        <v>56</v>
      </c>
      <c r="C24" s="316">
        <v>31782500</v>
      </c>
      <c r="D24" s="107">
        <f t="shared" si="0"/>
        <v>0.06727141266050844</v>
      </c>
      <c r="E24" s="422">
        <f>ROUND(45167923*1.12/100,0)*100</f>
        <v>50588100</v>
      </c>
      <c r="F24" s="108">
        <f>E24/$E$32</f>
        <v>0.07010220562099737</v>
      </c>
      <c r="G24" s="423">
        <f>ROUND(41420549/100,0)*100</f>
        <v>41420500</v>
      </c>
      <c r="H24" s="111">
        <f t="shared" si="2"/>
        <v>0.06446070138995016</v>
      </c>
      <c r="I24" s="315">
        <f aca="true" t="shared" si="6" ref="I24:I30">ROUND((625834800)*J24/100,0)*100</f>
        <v>40341800</v>
      </c>
      <c r="J24" s="109">
        <f t="shared" si="4"/>
        <v>0.06446070138995016</v>
      </c>
      <c r="K24" s="112"/>
      <c r="L24" s="116">
        <f t="shared" si="5"/>
        <v>8559300</v>
      </c>
      <c r="M24" s="103"/>
      <c r="N24" s="114"/>
      <c r="O24" s="115"/>
    </row>
    <row r="25" spans="1:15" ht="15">
      <c r="A25" s="105"/>
      <c r="B25" s="99" t="s">
        <v>57</v>
      </c>
      <c r="C25" s="316">
        <v>34165400</v>
      </c>
      <c r="D25" s="107">
        <f t="shared" si="0"/>
        <v>0.07231510177334492</v>
      </c>
      <c r="E25" s="422">
        <f>ROUND(45914622*1.12/100,0)*100</f>
        <v>51424400</v>
      </c>
      <c r="F25" s="108">
        <f>E25/$E$32</f>
        <v>0.07126110414774259</v>
      </c>
      <c r="G25" s="423">
        <f>ROUND(44912039/100,0)*100</f>
        <v>44912000</v>
      </c>
      <c r="H25" s="111">
        <f>G25/$G$32</f>
        <v>0.0698943523333963</v>
      </c>
      <c r="I25" s="315">
        <f t="shared" si="6"/>
        <v>43742300</v>
      </c>
      <c r="J25" s="109">
        <f t="shared" si="4"/>
        <v>0.0698943523333963</v>
      </c>
      <c r="K25" s="112"/>
      <c r="L25" s="116">
        <f t="shared" si="5"/>
        <v>9576900</v>
      </c>
      <c r="M25" s="103"/>
      <c r="N25" s="114"/>
      <c r="O25" s="115"/>
    </row>
    <row r="26" spans="1:15" ht="15">
      <c r="A26" s="105"/>
      <c r="B26" s="99" t="s">
        <v>58</v>
      </c>
      <c r="C26" s="316">
        <v>26672500</v>
      </c>
      <c r="D26" s="107">
        <f t="shared" si="0"/>
        <v>0.05645549450758786</v>
      </c>
      <c r="E26" s="422">
        <f>ROUND(36432989*1.12/100,0)*100</f>
        <v>40804900</v>
      </c>
      <c r="F26" s="108">
        <f t="shared" si="1"/>
        <v>0.05654518533299798</v>
      </c>
      <c r="G26" s="423">
        <f>ROUND(35840730/100,0)*100</f>
        <v>35840700</v>
      </c>
      <c r="H26" s="111">
        <f t="shared" si="2"/>
        <v>0.05577713113812694</v>
      </c>
      <c r="I26" s="315">
        <f t="shared" si="6"/>
        <v>34907300</v>
      </c>
      <c r="J26" s="109">
        <f t="shared" si="4"/>
        <v>0.05577713113812694</v>
      </c>
      <c r="K26" s="112"/>
      <c r="L26" s="116">
        <f t="shared" si="5"/>
        <v>8234800</v>
      </c>
      <c r="M26" s="103"/>
      <c r="N26" s="114"/>
      <c r="O26" s="115"/>
    </row>
    <row r="27" spans="1:15" ht="15">
      <c r="A27" s="105"/>
      <c r="B27" s="99" t="s">
        <v>59</v>
      </c>
      <c r="C27" s="316">
        <v>11431500</v>
      </c>
      <c r="D27" s="107">
        <f t="shared" si="0"/>
        <v>0.024196119053837874</v>
      </c>
      <c r="E27" s="422">
        <f>ROUND(15402410*1.12/100,0)*100</f>
        <v>17250700</v>
      </c>
      <c r="F27" s="108">
        <f t="shared" si="1"/>
        <v>0.023905070925892436</v>
      </c>
      <c r="G27" s="423">
        <f>ROUND(15075096/100,0)*100</f>
        <v>15075100</v>
      </c>
      <c r="H27" s="111">
        <f t="shared" si="2"/>
        <v>0.023460641941155654</v>
      </c>
      <c r="I27" s="315">
        <f t="shared" si="6"/>
        <v>14682500</v>
      </c>
      <c r="J27" s="109">
        <f t="shared" si="4"/>
        <v>0.023460641941155654</v>
      </c>
      <c r="K27" s="112"/>
      <c r="L27" s="116">
        <f t="shared" si="5"/>
        <v>3251000</v>
      </c>
      <c r="M27" s="103"/>
      <c r="N27" s="114"/>
      <c r="O27" s="115"/>
    </row>
    <row r="28" spans="1:15" ht="15">
      <c r="A28" s="105"/>
      <c r="B28" s="99" t="s">
        <v>60</v>
      </c>
      <c r="C28" s="316">
        <v>9569600</v>
      </c>
      <c r="D28" s="107">
        <f t="shared" si="0"/>
        <v>0.020255187936631842</v>
      </c>
      <c r="E28" s="422">
        <f>ROUND(13843981*1.12/100,0)*100</f>
        <v>15505300</v>
      </c>
      <c r="F28" s="108">
        <f t="shared" si="1"/>
        <v>0.021486391637860494</v>
      </c>
      <c r="G28" s="423">
        <f>ROUND(14672018/100,0)*100</f>
        <v>14672000</v>
      </c>
      <c r="H28" s="111">
        <f t="shared" si="2"/>
        <v>0.022833317096446176</v>
      </c>
      <c r="I28" s="315">
        <f t="shared" si="6"/>
        <v>14289900</v>
      </c>
      <c r="J28" s="109">
        <f t="shared" si="4"/>
        <v>0.022833317096446176</v>
      </c>
      <c r="K28" s="112"/>
      <c r="L28" s="116">
        <f t="shared" si="5"/>
        <v>4720300</v>
      </c>
      <c r="M28" s="103"/>
      <c r="N28" s="114"/>
      <c r="O28" s="115"/>
    </row>
    <row r="29" spans="1:15" ht="15">
      <c r="A29" s="105"/>
      <c r="B29" s="99" t="s">
        <v>61</v>
      </c>
      <c r="C29" s="316">
        <v>6548700</v>
      </c>
      <c r="D29" s="107">
        <f t="shared" si="0"/>
        <v>0.013861096518205667</v>
      </c>
      <c r="E29" s="422">
        <f>ROUND(8999477*1.12/100,0)*100</f>
        <v>10079400</v>
      </c>
      <c r="F29" s="108">
        <f t="shared" si="1"/>
        <v>0.013967477951065187</v>
      </c>
      <c r="G29" s="423">
        <f>ROUND(9901992/100,0)*100</f>
        <v>9902000</v>
      </c>
      <c r="H29" s="111">
        <f t="shared" si="2"/>
        <v>0.01540999903823678</v>
      </c>
      <c r="I29" s="315">
        <f t="shared" si="6"/>
        <v>9644100</v>
      </c>
      <c r="J29" s="109">
        <f t="shared" si="4"/>
        <v>0.01540999903823678</v>
      </c>
      <c r="K29" s="112"/>
      <c r="L29" s="116">
        <f t="shared" si="5"/>
        <v>3095400</v>
      </c>
      <c r="M29" s="103"/>
      <c r="N29" s="114"/>
      <c r="O29" s="115"/>
    </row>
    <row r="30" spans="1:15" ht="15">
      <c r="A30" s="105"/>
      <c r="B30" s="99" t="s">
        <v>62</v>
      </c>
      <c r="C30" s="316">
        <v>11581500</v>
      </c>
      <c r="D30" s="107">
        <f t="shared" si="0"/>
        <v>0.02451361175891382</v>
      </c>
      <c r="E30" s="422">
        <f>ROUND(14855789*1.12/100,0)*100</f>
        <v>16638500</v>
      </c>
      <c r="F30" s="108">
        <f t="shared" si="1"/>
        <v>0.023056717849157502</v>
      </c>
      <c r="G30" s="423">
        <f>ROUND(15120338/100,0)*100</f>
        <v>15120300</v>
      </c>
      <c r="H30" s="111">
        <f t="shared" si="2"/>
        <v>0.02353098449382464</v>
      </c>
      <c r="I30" s="315">
        <f t="shared" si="6"/>
        <v>14726500</v>
      </c>
      <c r="J30" s="109">
        <f t="shared" si="4"/>
        <v>0.02353098449382464</v>
      </c>
      <c r="K30" s="112"/>
      <c r="L30" s="116">
        <f t="shared" si="5"/>
        <v>3145000</v>
      </c>
      <c r="M30" s="103"/>
      <c r="N30" s="114"/>
      <c r="O30" s="115"/>
    </row>
    <row r="31" spans="1:15" ht="15">
      <c r="A31" s="105"/>
      <c r="B31" s="99"/>
      <c r="C31" s="120"/>
      <c r="D31" s="118"/>
      <c r="E31" s="104"/>
      <c r="F31" s="119"/>
      <c r="G31" s="104"/>
      <c r="H31" s="117"/>
      <c r="I31" s="120"/>
      <c r="J31" s="119"/>
      <c r="K31" s="121"/>
      <c r="L31" s="116"/>
      <c r="M31" s="103"/>
      <c r="N31" s="114"/>
      <c r="O31" s="114"/>
    </row>
    <row r="32" spans="1:15" ht="15">
      <c r="A32" s="122"/>
      <c r="B32" s="123" t="s">
        <v>22</v>
      </c>
      <c r="C32" s="125">
        <f aca="true" t="shared" si="7" ref="C32:J32">SUM(C8:C30)</f>
        <v>472451800</v>
      </c>
      <c r="D32" s="124">
        <f t="shared" si="7"/>
        <v>1</v>
      </c>
      <c r="E32" s="125">
        <f t="shared" si="7"/>
        <v>721633500</v>
      </c>
      <c r="F32" s="126">
        <f t="shared" si="7"/>
        <v>1</v>
      </c>
      <c r="G32" s="125">
        <f t="shared" si="7"/>
        <v>642569800</v>
      </c>
      <c r="H32" s="124">
        <f t="shared" si="7"/>
        <v>1</v>
      </c>
      <c r="I32" s="125">
        <f>SUM(I8:I31)</f>
        <v>625834800</v>
      </c>
      <c r="J32" s="126">
        <f t="shared" si="7"/>
        <v>1</v>
      </c>
      <c r="K32" s="127"/>
      <c r="L32" s="128">
        <f>SUM(L8:L31)</f>
        <v>153383000</v>
      </c>
      <c r="M32" s="129"/>
      <c r="N32" s="131"/>
      <c r="O32" s="130"/>
    </row>
    <row r="33" spans="3:15" ht="12.75">
      <c r="C33" s="132"/>
      <c r="D33" s="132"/>
      <c r="E33" s="132"/>
      <c r="F33" s="133"/>
      <c r="G33" s="132"/>
      <c r="H33" s="132"/>
      <c r="I33" s="131"/>
      <c r="J33" s="132"/>
      <c r="K33" s="132"/>
      <c r="L33" s="132"/>
      <c r="M33" s="131"/>
      <c r="O33" s="223"/>
    </row>
    <row r="34" spans="1:15" ht="15.75">
      <c r="A34" s="134"/>
      <c r="B34" s="483" t="s">
        <v>85</v>
      </c>
      <c r="C34" s="484"/>
      <c r="D34" s="484"/>
      <c r="E34" s="484"/>
      <c r="F34" s="484"/>
      <c r="G34" s="484"/>
      <c r="H34" s="484"/>
      <c r="I34" s="484"/>
      <c r="J34" s="484"/>
      <c r="K34" s="484"/>
      <c r="L34" s="484"/>
      <c r="M34" s="484"/>
      <c r="O34" s="223"/>
    </row>
    <row r="35" spans="9:15" ht="12.75">
      <c r="I35" s="135"/>
      <c r="J35" s="135"/>
      <c r="K35" s="135"/>
      <c r="L35" s="135"/>
      <c r="O35" s="223"/>
    </row>
    <row r="36" spans="3:9" ht="12.75">
      <c r="C36" s="320"/>
      <c r="I36" s="135"/>
    </row>
    <row r="37" ht="12.75">
      <c r="C37" s="135"/>
    </row>
  </sheetData>
  <sheetProtection/>
  <mergeCells count="5">
    <mergeCell ref="E4:M4"/>
    <mergeCell ref="E5:F5"/>
    <mergeCell ref="I5:J5"/>
    <mergeCell ref="K5:M5"/>
    <mergeCell ref="B34:M34"/>
  </mergeCells>
  <printOptions/>
  <pageMargins left="0.5" right="0.5" top="0.5" bottom="0.5" header="0.5" footer="0.5"/>
  <pageSetup fitToHeight="1" fitToWidth="1" horizontalDpi="600" verticalDpi="600" orientation="landscape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38" sqref="B38"/>
    </sheetView>
  </sheetViews>
  <sheetFormatPr defaultColWidth="9.33203125" defaultRowHeight="12.75"/>
  <cols>
    <col min="1" max="1" width="36.16015625" style="63" customWidth="1"/>
    <col min="2" max="2" width="14.66015625" style="63" bestFit="1" customWidth="1"/>
    <col min="3" max="3" width="31.16015625" style="64" customWidth="1"/>
    <col min="4" max="4" width="14.5" style="63" bestFit="1" customWidth="1"/>
    <col min="5" max="5" width="3.16015625" style="63" customWidth="1"/>
    <col min="6" max="6" width="14.5" style="63" bestFit="1" customWidth="1"/>
    <col min="7" max="7" width="3.16015625" style="63" customWidth="1"/>
    <col min="8" max="8" width="14.5" style="63" bestFit="1" customWidth="1"/>
    <col min="9" max="9" width="3.5" style="63" customWidth="1"/>
    <col min="10" max="10" width="14.5" style="64" bestFit="1" customWidth="1"/>
    <col min="11" max="11" width="9.33203125" style="63" customWidth="1"/>
    <col min="12" max="12" width="17" style="63" bestFit="1" customWidth="1"/>
    <col min="13" max="13" width="15.83203125" style="63" bestFit="1" customWidth="1"/>
    <col min="14" max="14" width="17" style="63" bestFit="1" customWidth="1"/>
    <col min="15" max="16384" width="9.33203125" style="63" customWidth="1"/>
  </cols>
  <sheetData>
    <row r="1" ht="16.5">
      <c r="A1" s="62" t="s">
        <v>71</v>
      </c>
    </row>
    <row r="2" ht="15.75">
      <c r="A2" s="65" t="s">
        <v>72</v>
      </c>
    </row>
    <row r="3" ht="15.75">
      <c r="A3" s="79"/>
    </row>
    <row r="4" spans="1:10" s="64" customFormat="1" ht="21" customHeight="1">
      <c r="A4" s="66"/>
      <c r="B4" s="67"/>
      <c r="C4" s="66"/>
      <c r="D4" s="485" t="s">
        <v>33</v>
      </c>
      <c r="E4" s="485"/>
      <c r="F4" s="485"/>
      <c r="G4" s="485"/>
      <c r="H4" s="485"/>
      <c r="I4" s="485"/>
      <c r="J4" s="485"/>
    </row>
    <row r="5" spans="1:10" s="69" customFormat="1" ht="50.25">
      <c r="A5" s="68" t="s">
        <v>34</v>
      </c>
      <c r="B5" s="139" t="s">
        <v>35</v>
      </c>
      <c r="C5" s="68"/>
      <c r="D5" s="83">
        <v>40360</v>
      </c>
      <c r="E5" s="83"/>
      <c r="F5" s="83">
        <v>40452</v>
      </c>
      <c r="G5" s="83"/>
      <c r="H5" s="83">
        <v>40544</v>
      </c>
      <c r="I5" s="83"/>
      <c r="J5" s="83">
        <v>40634</v>
      </c>
    </row>
    <row r="6" spans="1:9" ht="15.75">
      <c r="A6" s="70"/>
      <c r="B6" s="140"/>
      <c r="D6" s="64"/>
      <c r="E6" s="64"/>
      <c r="F6" s="64"/>
      <c r="G6" s="64"/>
      <c r="H6" s="64"/>
      <c r="I6" s="64"/>
    </row>
    <row r="7" spans="1:10" ht="15.75">
      <c r="A7" s="71" t="s">
        <v>0</v>
      </c>
      <c r="B7" s="208">
        <v>60100</v>
      </c>
      <c r="C7" s="71"/>
      <c r="D7" s="71">
        <f>ROUND(B7/4,2)</f>
        <v>15025</v>
      </c>
      <c r="E7" s="71"/>
      <c r="F7" s="71">
        <f aca="true" t="shared" si="0" ref="F7:F29">D7</f>
        <v>15025</v>
      </c>
      <c r="G7" s="71"/>
      <c r="H7" s="71">
        <f aca="true" t="shared" si="1" ref="H7:H29">F7</f>
        <v>15025</v>
      </c>
      <c r="I7" s="71"/>
      <c r="J7" s="71">
        <f aca="true" t="shared" si="2" ref="J7:J29">H7</f>
        <v>15025</v>
      </c>
    </row>
    <row r="8" spans="1:10" ht="15.75">
      <c r="A8" s="72" t="s">
        <v>1</v>
      </c>
      <c r="B8" s="209">
        <v>31100</v>
      </c>
      <c r="C8" s="73"/>
      <c r="D8" s="73">
        <f aca="true" t="shared" si="3" ref="D8:D29">ROUND(B8/4,2)</f>
        <v>7775</v>
      </c>
      <c r="E8" s="73"/>
      <c r="F8" s="73">
        <f t="shared" si="0"/>
        <v>7775</v>
      </c>
      <c r="G8" s="73"/>
      <c r="H8" s="73">
        <f t="shared" si="1"/>
        <v>7775</v>
      </c>
      <c r="I8" s="73"/>
      <c r="J8" s="73">
        <f t="shared" si="2"/>
        <v>7775</v>
      </c>
    </row>
    <row r="9" spans="1:10" ht="15.75">
      <c r="A9" s="72" t="s">
        <v>2</v>
      </c>
      <c r="B9" s="209">
        <v>129300</v>
      </c>
      <c r="C9" s="73"/>
      <c r="D9" s="73">
        <f t="shared" si="3"/>
        <v>32325</v>
      </c>
      <c r="E9" s="73"/>
      <c r="F9" s="73">
        <f t="shared" si="0"/>
        <v>32325</v>
      </c>
      <c r="G9" s="73"/>
      <c r="H9" s="73">
        <f t="shared" si="1"/>
        <v>32325</v>
      </c>
      <c r="I9" s="73"/>
      <c r="J9" s="73">
        <f t="shared" si="2"/>
        <v>32325</v>
      </c>
    </row>
    <row r="10" spans="1:10" ht="15.75">
      <c r="A10" s="72" t="s">
        <v>3</v>
      </c>
      <c r="B10" s="209">
        <v>95700</v>
      </c>
      <c r="C10" s="73"/>
      <c r="D10" s="73">
        <f t="shared" si="3"/>
        <v>23925</v>
      </c>
      <c r="E10" s="73"/>
      <c r="F10" s="73">
        <f t="shared" si="0"/>
        <v>23925</v>
      </c>
      <c r="G10" s="73"/>
      <c r="H10" s="73">
        <f t="shared" si="1"/>
        <v>23925</v>
      </c>
      <c r="I10" s="73"/>
      <c r="J10" s="73">
        <f t="shared" si="2"/>
        <v>23925</v>
      </c>
    </row>
    <row r="11" spans="1:10" ht="15.75">
      <c r="A11" s="72" t="s">
        <v>29</v>
      </c>
      <c r="B11" s="209">
        <v>140000</v>
      </c>
      <c r="C11" s="73"/>
      <c r="D11" s="73">
        <f t="shared" si="3"/>
        <v>35000</v>
      </c>
      <c r="E11" s="73"/>
      <c r="F11" s="73">
        <f t="shared" si="0"/>
        <v>35000</v>
      </c>
      <c r="G11" s="73"/>
      <c r="H11" s="73">
        <f t="shared" si="1"/>
        <v>35000</v>
      </c>
      <c r="I11" s="73"/>
      <c r="J11" s="73">
        <f t="shared" si="2"/>
        <v>35000</v>
      </c>
    </row>
    <row r="12" spans="1:10" ht="15.75">
      <c r="A12" s="72" t="s">
        <v>4</v>
      </c>
      <c r="B12" s="209">
        <v>169600</v>
      </c>
      <c r="C12" s="73"/>
      <c r="D12" s="73">
        <f t="shared" si="3"/>
        <v>42400</v>
      </c>
      <c r="E12" s="73"/>
      <c r="F12" s="73">
        <f t="shared" si="0"/>
        <v>42400</v>
      </c>
      <c r="G12" s="73"/>
      <c r="H12" s="73">
        <f t="shared" si="1"/>
        <v>42400</v>
      </c>
      <c r="I12" s="73"/>
      <c r="J12" s="73">
        <f t="shared" si="2"/>
        <v>42400</v>
      </c>
    </row>
    <row r="13" spans="1:10" ht="15.75">
      <c r="A13" s="72" t="s">
        <v>5</v>
      </c>
      <c r="B13" s="209">
        <v>290400</v>
      </c>
      <c r="C13" s="73"/>
      <c r="D13" s="73">
        <f t="shared" si="3"/>
        <v>72600</v>
      </c>
      <c r="E13" s="73"/>
      <c r="F13" s="73">
        <f t="shared" si="0"/>
        <v>72600</v>
      </c>
      <c r="G13" s="73"/>
      <c r="H13" s="73">
        <f t="shared" si="1"/>
        <v>72600</v>
      </c>
      <c r="I13" s="73"/>
      <c r="J13" s="73">
        <f t="shared" si="2"/>
        <v>72600</v>
      </c>
    </row>
    <row r="14" spans="1:10" ht="15.75">
      <c r="A14" s="72" t="s">
        <v>6</v>
      </c>
      <c r="B14" s="209">
        <v>69200</v>
      </c>
      <c r="C14" s="73"/>
      <c r="D14" s="73">
        <f t="shared" si="3"/>
        <v>17300</v>
      </c>
      <c r="E14" s="73"/>
      <c r="F14" s="73">
        <f t="shared" si="0"/>
        <v>17300</v>
      </c>
      <c r="G14" s="73"/>
      <c r="H14" s="73">
        <f t="shared" si="1"/>
        <v>17300</v>
      </c>
      <c r="I14" s="73"/>
      <c r="J14" s="73">
        <f t="shared" si="2"/>
        <v>17300</v>
      </c>
    </row>
    <row r="15" spans="1:10" ht="15.75">
      <c r="A15" s="72" t="s">
        <v>7</v>
      </c>
      <c r="B15" s="209">
        <v>293500</v>
      </c>
      <c r="C15" s="73"/>
      <c r="D15" s="73">
        <f t="shared" si="3"/>
        <v>73375</v>
      </c>
      <c r="E15" s="73"/>
      <c r="F15" s="73">
        <f t="shared" si="0"/>
        <v>73375</v>
      </c>
      <c r="G15" s="73"/>
      <c r="H15" s="73">
        <f t="shared" si="1"/>
        <v>73375</v>
      </c>
      <c r="I15" s="73"/>
      <c r="J15" s="73">
        <f t="shared" si="2"/>
        <v>73375</v>
      </c>
    </row>
    <row r="16" spans="1:10" ht="15.75">
      <c r="A16" s="72" t="s">
        <v>8</v>
      </c>
      <c r="B16" s="209">
        <v>174100</v>
      </c>
      <c r="C16" s="73"/>
      <c r="D16" s="73">
        <f t="shared" si="3"/>
        <v>43525</v>
      </c>
      <c r="E16" s="73"/>
      <c r="F16" s="73">
        <f t="shared" si="0"/>
        <v>43525</v>
      </c>
      <c r="G16" s="73"/>
      <c r="H16" s="73">
        <f t="shared" si="1"/>
        <v>43525</v>
      </c>
      <c r="I16" s="73"/>
      <c r="J16" s="73">
        <f t="shared" si="2"/>
        <v>43525</v>
      </c>
    </row>
    <row r="17" spans="1:10" ht="15.75">
      <c r="A17" s="72" t="s">
        <v>9</v>
      </c>
      <c r="B17" s="209">
        <v>11000</v>
      </c>
      <c r="C17" s="73"/>
      <c r="D17" s="73">
        <f t="shared" si="3"/>
        <v>2750</v>
      </c>
      <c r="E17" s="73"/>
      <c r="F17" s="73">
        <f t="shared" si="0"/>
        <v>2750</v>
      </c>
      <c r="G17" s="73"/>
      <c r="H17" s="73">
        <f t="shared" si="1"/>
        <v>2750</v>
      </c>
      <c r="I17" s="73"/>
      <c r="J17" s="73">
        <f t="shared" si="2"/>
        <v>2750</v>
      </c>
    </row>
    <row r="18" spans="1:10" ht="15.75">
      <c r="A18" s="72" t="s">
        <v>10</v>
      </c>
      <c r="B18" s="209">
        <v>33900</v>
      </c>
      <c r="C18" s="73"/>
      <c r="D18" s="73">
        <f t="shared" si="3"/>
        <v>8475</v>
      </c>
      <c r="E18" s="73"/>
      <c r="F18" s="73">
        <f t="shared" si="0"/>
        <v>8475</v>
      </c>
      <c r="G18" s="73"/>
      <c r="H18" s="73">
        <f t="shared" si="1"/>
        <v>8475</v>
      </c>
      <c r="I18" s="73"/>
      <c r="J18" s="73">
        <f t="shared" si="2"/>
        <v>8475</v>
      </c>
    </row>
    <row r="19" spans="1:10" ht="15.75">
      <c r="A19" s="72" t="s">
        <v>11</v>
      </c>
      <c r="B19" s="209">
        <v>303000</v>
      </c>
      <c r="C19" s="73"/>
      <c r="D19" s="73">
        <f t="shared" si="3"/>
        <v>75750</v>
      </c>
      <c r="E19" s="73"/>
      <c r="F19" s="73">
        <f t="shared" si="0"/>
        <v>75750</v>
      </c>
      <c r="G19" s="73"/>
      <c r="H19" s="73">
        <f t="shared" si="1"/>
        <v>75750</v>
      </c>
      <c r="I19" s="73"/>
      <c r="J19" s="73">
        <f t="shared" si="2"/>
        <v>75750</v>
      </c>
    </row>
    <row r="20" spans="1:10" ht="15.75">
      <c r="A20" s="72" t="s">
        <v>12</v>
      </c>
      <c r="B20" s="209">
        <v>162900</v>
      </c>
      <c r="C20" s="73"/>
      <c r="D20" s="73">
        <f t="shared" si="3"/>
        <v>40725</v>
      </c>
      <c r="E20" s="73"/>
      <c r="F20" s="73">
        <f t="shared" si="0"/>
        <v>40725</v>
      </c>
      <c r="G20" s="73"/>
      <c r="H20" s="73">
        <f t="shared" si="1"/>
        <v>40725</v>
      </c>
      <c r="I20" s="73"/>
      <c r="J20" s="73">
        <f t="shared" si="2"/>
        <v>40725</v>
      </c>
    </row>
    <row r="21" spans="1:10" ht="15.75">
      <c r="A21" s="72" t="s">
        <v>13</v>
      </c>
      <c r="B21" s="209">
        <v>217300</v>
      </c>
      <c r="C21" s="73"/>
      <c r="D21" s="73">
        <f t="shared" si="3"/>
        <v>54325</v>
      </c>
      <c r="E21" s="73"/>
      <c r="F21" s="73">
        <f t="shared" si="0"/>
        <v>54325</v>
      </c>
      <c r="G21" s="73"/>
      <c r="H21" s="73">
        <f t="shared" si="1"/>
        <v>54325</v>
      </c>
      <c r="I21" s="73"/>
      <c r="J21" s="73">
        <f t="shared" si="2"/>
        <v>54325</v>
      </c>
    </row>
    <row r="22" spans="1:10" ht="15.75">
      <c r="A22" s="72" t="s">
        <v>14</v>
      </c>
      <c r="B22" s="209">
        <v>143700</v>
      </c>
      <c r="C22" s="73"/>
      <c r="D22" s="73">
        <f t="shared" si="3"/>
        <v>35925</v>
      </c>
      <c r="E22" s="73"/>
      <c r="F22" s="73">
        <f t="shared" si="0"/>
        <v>35925</v>
      </c>
      <c r="G22" s="73"/>
      <c r="H22" s="73">
        <f t="shared" si="1"/>
        <v>35925</v>
      </c>
      <c r="I22" s="73"/>
      <c r="J22" s="73">
        <f t="shared" si="2"/>
        <v>35925</v>
      </c>
    </row>
    <row r="23" spans="1:10" ht="15.75">
      <c r="A23" s="72" t="s">
        <v>15</v>
      </c>
      <c r="B23" s="209">
        <v>295300</v>
      </c>
      <c r="C23" s="73"/>
      <c r="D23" s="73">
        <f t="shared" si="3"/>
        <v>73825</v>
      </c>
      <c r="E23" s="73"/>
      <c r="F23" s="73">
        <f t="shared" si="0"/>
        <v>73825</v>
      </c>
      <c r="G23" s="73"/>
      <c r="H23" s="73">
        <f t="shared" si="1"/>
        <v>73825</v>
      </c>
      <c r="I23" s="73"/>
      <c r="J23" s="73">
        <f t="shared" si="2"/>
        <v>73825</v>
      </c>
    </row>
    <row r="24" spans="1:10" ht="15.75">
      <c r="A24" s="72" t="s">
        <v>16</v>
      </c>
      <c r="B24" s="209">
        <v>263200</v>
      </c>
      <c r="C24" s="73"/>
      <c r="D24" s="73">
        <f t="shared" si="3"/>
        <v>65800</v>
      </c>
      <c r="E24" s="73"/>
      <c r="F24" s="73">
        <f t="shared" si="0"/>
        <v>65800</v>
      </c>
      <c r="G24" s="73"/>
      <c r="H24" s="73">
        <f t="shared" si="1"/>
        <v>65800</v>
      </c>
      <c r="I24" s="73"/>
      <c r="J24" s="73">
        <f t="shared" si="2"/>
        <v>65800</v>
      </c>
    </row>
    <row r="25" spans="1:10" ht="15.75">
      <c r="A25" s="72" t="s">
        <v>17</v>
      </c>
      <c r="B25" s="209">
        <v>251300</v>
      </c>
      <c r="C25" s="73"/>
      <c r="D25" s="73">
        <f t="shared" si="3"/>
        <v>62825</v>
      </c>
      <c r="E25" s="73"/>
      <c r="F25" s="73">
        <f t="shared" si="0"/>
        <v>62825</v>
      </c>
      <c r="G25" s="73"/>
      <c r="H25" s="73">
        <f t="shared" si="1"/>
        <v>62825</v>
      </c>
      <c r="I25" s="73"/>
      <c r="J25" s="73">
        <f t="shared" si="2"/>
        <v>62825</v>
      </c>
    </row>
    <row r="26" spans="1:10" ht="15.75">
      <c r="A26" s="72" t="s">
        <v>18</v>
      </c>
      <c r="B26" s="209">
        <v>184000</v>
      </c>
      <c r="C26" s="73"/>
      <c r="D26" s="73">
        <f t="shared" si="3"/>
        <v>46000</v>
      </c>
      <c r="E26" s="73"/>
      <c r="F26" s="73">
        <f t="shared" si="0"/>
        <v>46000</v>
      </c>
      <c r="G26" s="73"/>
      <c r="H26" s="73">
        <f t="shared" si="1"/>
        <v>46000</v>
      </c>
      <c r="I26" s="73"/>
      <c r="J26" s="73">
        <f t="shared" si="2"/>
        <v>46000</v>
      </c>
    </row>
    <row r="27" spans="1:10" ht="15.75">
      <c r="A27" s="72" t="s">
        <v>19</v>
      </c>
      <c r="B27" s="209">
        <v>74100</v>
      </c>
      <c r="C27" s="73"/>
      <c r="D27" s="73">
        <f t="shared" si="3"/>
        <v>18525</v>
      </c>
      <c r="E27" s="73"/>
      <c r="F27" s="73">
        <f t="shared" si="0"/>
        <v>18525</v>
      </c>
      <c r="G27" s="73"/>
      <c r="H27" s="73">
        <f t="shared" si="1"/>
        <v>18525</v>
      </c>
      <c r="I27" s="73"/>
      <c r="J27" s="73">
        <f t="shared" si="2"/>
        <v>18525</v>
      </c>
    </row>
    <row r="28" spans="1:10" ht="15.75">
      <c r="A28" s="72" t="s">
        <v>20</v>
      </c>
      <c r="B28" s="209">
        <v>66400</v>
      </c>
      <c r="C28" s="73"/>
      <c r="D28" s="73">
        <f t="shared" si="3"/>
        <v>16600</v>
      </c>
      <c r="E28" s="73"/>
      <c r="F28" s="73">
        <f t="shared" si="0"/>
        <v>16600</v>
      </c>
      <c r="G28" s="73"/>
      <c r="H28" s="73">
        <f t="shared" si="1"/>
        <v>16600</v>
      </c>
      <c r="I28" s="73"/>
      <c r="J28" s="73">
        <f t="shared" si="2"/>
        <v>16600</v>
      </c>
    </row>
    <row r="29" spans="1:10" ht="15.75">
      <c r="A29" s="72" t="s">
        <v>21</v>
      </c>
      <c r="B29" s="210">
        <v>66900</v>
      </c>
      <c r="C29" s="73"/>
      <c r="D29" s="74">
        <f t="shared" si="3"/>
        <v>16725</v>
      </c>
      <c r="E29" s="73"/>
      <c r="F29" s="74">
        <f t="shared" si="0"/>
        <v>16725</v>
      </c>
      <c r="G29" s="73"/>
      <c r="H29" s="74">
        <f t="shared" si="1"/>
        <v>16725</v>
      </c>
      <c r="I29" s="73"/>
      <c r="J29" s="74">
        <f t="shared" si="2"/>
        <v>16725</v>
      </c>
    </row>
    <row r="30" spans="1:9" ht="9" customHeight="1">
      <c r="A30" s="72"/>
      <c r="B30" s="140"/>
      <c r="D30" s="64"/>
      <c r="E30" s="64"/>
      <c r="F30" s="64"/>
      <c r="G30" s="64"/>
      <c r="H30" s="64"/>
      <c r="I30" s="64"/>
    </row>
    <row r="31" spans="1:10" s="76" customFormat="1" ht="15.75">
      <c r="A31" s="75" t="s">
        <v>36</v>
      </c>
      <c r="B31" s="141">
        <f>SUM(B7:B29)</f>
        <v>3526000</v>
      </c>
      <c r="C31" s="75"/>
      <c r="D31" s="75">
        <f>SUM(D7:D30)</f>
        <v>881500</v>
      </c>
      <c r="E31" s="75"/>
      <c r="F31" s="75">
        <f>SUM(F7:F30)</f>
        <v>881500</v>
      </c>
      <c r="G31" s="75"/>
      <c r="H31" s="75">
        <f>SUM(H7:H30)</f>
        <v>881500</v>
      </c>
      <c r="I31" s="75"/>
      <c r="J31" s="75">
        <f>SUM(J7:J30)</f>
        <v>881500</v>
      </c>
    </row>
    <row r="32" spans="1:14" ht="15.75">
      <c r="A32" s="72"/>
      <c r="B32" s="64"/>
      <c r="D32" s="64"/>
      <c r="E32" s="64"/>
      <c r="F32" s="64"/>
      <c r="G32" s="64"/>
      <c r="H32" s="64"/>
      <c r="I32" s="64"/>
      <c r="L32" s="211"/>
      <c r="M32" s="211"/>
      <c r="N32" s="211"/>
    </row>
    <row r="33" spans="12:14" ht="15.75">
      <c r="L33" s="212"/>
      <c r="M33" s="212"/>
      <c r="N33" s="212"/>
    </row>
    <row r="34" spans="1:10" ht="49.5" customHeight="1">
      <c r="A34" s="486" t="s">
        <v>86</v>
      </c>
      <c r="B34" s="487"/>
      <c r="C34" s="487"/>
      <c r="D34" s="487"/>
      <c r="E34" s="487"/>
      <c r="F34" s="487"/>
      <c r="G34" s="487"/>
      <c r="H34" s="487"/>
      <c r="I34" s="487"/>
      <c r="J34" s="487"/>
    </row>
    <row r="35" spans="1:10" ht="30.75" customHeight="1">
      <c r="A35" s="488" t="s">
        <v>73</v>
      </c>
      <c r="B35" s="488"/>
      <c r="C35" s="488"/>
      <c r="D35" s="488"/>
      <c r="E35" s="488"/>
      <c r="F35" s="488"/>
      <c r="G35" s="488"/>
      <c r="H35" s="488"/>
      <c r="I35" s="488"/>
      <c r="J35" s="488"/>
    </row>
  </sheetData>
  <sheetProtection/>
  <mergeCells count="3">
    <mergeCell ref="D4:J4"/>
    <mergeCell ref="A34:J34"/>
    <mergeCell ref="A35:J35"/>
  </mergeCells>
  <printOptions/>
  <pageMargins left="0.75" right="0.5" top="0.5" bottom="0.5" header="0.5" footer="0.5"/>
  <pageSetup fitToHeight="1" fitToWidth="1" horizontalDpi="600" verticalDpi="600" orientation="landscape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Rodney Rideau</dc:creator>
  <cp:keywords/>
  <dc:description/>
  <cp:lastModifiedBy>Kemsley, Chris</cp:lastModifiedBy>
  <cp:lastPrinted>2011-07-14T23:00:55Z</cp:lastPrinted>
  <dcterms:created xsi:type="dcterms:W3CDTF">2005-01-20T22:46:37Z</dcterms:created>
  <dcterms:modified xsi:type="dcterms:W3CDTF">2018-11-15T22:24:40Z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0x0101008F1107925717494DA363C8461863197E</vt:lpwstr>
  </property>
  <property fmtid="{D5CDD505-2E9C-101B-9397-08002B2CF9AE}" pid="3" name="_dlc_DocIdItemGuid">
    <vt:lpwstr>71c02972-1017-4a2a-b7a1-d4536b03c37b</vt:lpwstr>
  </property>
  <property fmtid="{D5CDD505-2E9C-101B-9397-08002B2CF9AE}" pid="4" name="PublishingExpirationDate">
    <vt:lpwstr/>
  </property>
  <property fmtid="{D5CDD505-2E9C-101B-9397-08002B2CF9AE}" pid="5" name="PublishingStartDate">
    <vt:lpwstr/>
  </property>
  <property fmtid="{D5CDD505-2E9C-101B-9397-08002B2CF9AE}" pid="6" name="_dlc_DocId">
    <vt:lpwstr>72WVDYXX2UNK-1717399031-166</vt:lpwstr>
  </property>
  <property fmtid="{D5CDD505-2E9C-101B-9397-08002B2CF9AE}" pid="7" name="_dlc_DocIdUrl">
    <vt:lpwstr>https://update.calstate.edu/csu-system/about-the-csu/budget/_layouts/15/DocIdRedir.aspx?ID=72WVDYXX2UNK-1717399031-166, 72WVDYXX2UNK-1717399031-166</vt:lpwstr>
  </property>
</Properties>
</file>