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95" windowHeight="6885" tabRatio="569" firstSheet="4" activeTab="5"/>
  </bookViews>
  <sheets>
    <sheet name="(A) Gross Budget Summary" sheetId="1" r:id="rId1"/>
    <sheet name="(B) Base Budget Adjustments" sheetId="2" r:id="rId2"/>
    <sheet name="(C) Uses of Revenue" sheetId="3" r:id="rId3"/>
    <sheet name="(D) SUF revenue-SUG-FTES" sheetId="4" r:id="rId4"/>
    <sheet name="(E) SUG" sheetId="5" r:id="rId5"/>
    <sheet name="(F) GF_Contingent_Reduction" sheetId="6" r:id="rId6"/>
    <sheet name="(G) Interest Pymt Schedule" sheetId="7" r:id="rId7"/>
  </sheets>
  <definedNames>
    <definedName name="_xlnm.Print_Area" localSheetId="0">'(A) Gross Budget Summary'!$A$1:$P$44</definedName>
    <definedName name="_xlnm.Print_Area" localSheetId="1">'(B) Base Budget Adjustments'!$A$1:$AB$47</definedName>
    <definedName name="_xlnm.Print_Area" localSheetId="2">'(C) Uses of Revenue'!$A$1:$R$43</definedName>
    <definedName name="_xlnm.Print_Area" localSheetId="3">'(D) SUF revenue-SUG-FTES'!$A$1:$T$42</definedName>
    <definedName name="_xlnm.Print_Area" localSheetId="4">'(E) SUG'!$A$1:$L$34</definedName>
    <definedName name="_xlnm.Print_Area" localSheetId="5">'(F) GF_Contingent_Reduction'!$A$1:$E$46</definedName>
    <definedName name="_xlnm.Print_Titles" localSheetId="2">'(C) Uses of Revenue'!$A:$A,'(C) Uses of Revenue'!$1:$2</definedName>
  </definedNames>
  <calcPr fullCalcOnLoad="1" fullPrecision="0"/>
</workbook>
</file>

<file path=xl/sharedStrings.xml><?xml version="1.0" encoding="utf-8"?>
<sst xmlns="http://schemas.openxmlformats.org/spreadsheetml/2006/main" count="351" uniqueCount="194">
  <si>
    <t>Bakersfield</t>
  </si>
  <si>
    <t>Channel Islands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</si>
  <si>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</si>
  <si>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</si>
  <si>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</si>
  <si>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</si>
  <si>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</si>
  <si>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</si>
  <si>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</si>
  <si>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</si>
  <si>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</si>
  <si>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</si>
  <si>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</si>
  <si>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</si>
  <si>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</si>
  <si>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</si>
  <si>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</si>
  <si>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</si>
  <si>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</si>
  <si>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</si>
  <si>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</si>
  <si>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</si>
  <si>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</si>
  <si>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</si>
  <si>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International Programs</t>
  </si>
  <si>
    <t>Summer Arts</t>
  </si>
  <si>
    <t>Systemwide Provisions</t>
  </si>
  <si>
    <t>CSU System Total</t>
  </si>
  <si>
    <t>General Fund Base Adjustments</t>
  </si>
  <si>
    <t>Campus Reported Gross         Final Budget</t>
  </si>
  <si>
    <t>East Bay</t>
  </si>
  <si>
    <t>(Sum Cols. 1-3)</t>
  </si>
  <si>
    <t>Campus Reported State University Fee Revenue</t>
  </si>
  <si>
    <t>State University Fee Revenue</t>
  </si>
  <si>
    <r>
      <t>Other Fee Revenue and SWP Reim.</t>
    </r>
    <r>
      <rPr>
        <vertAlign val="superscript"/>
        <sz val="10"/>
        <rFont val="Times New Roman"/>
        <family val="1"/>
      </rPr>
      <t>1</t>
    </r>
  </si>
  <si>
    <r>
      <t>Unadjusted Other Fee Revenue and Reim.</t>
    </r>
    <r>
      <rPr>
        <vertAlign val="superscript"/>
        <sz val="10"/>
        <rFont val="Times New Roman"/>
        <family val="1"/>
      </rPr>
      <t>1</t>
    </r>
  </si>
  <si>
    <t>Health</t>
  </si>
  <si>
    <t>Energy</t>
  </si>
  <si>
    <t>CalStateTeach</t>
  </si>
  <si>
    <t xml:space="preserve"> Operating Fee Revenue Interest Assessment Increase</t>
  </si>
  <si>
    <t>General Fund</t>
  </si>
  <si>
    <t>SUF Revenue</t>
  </si>
  <si>
    <t>Attach. E</t>
  </si>
  <si>
    <t>Resident Students</t>
  </si>
  <si>
    <t>Non-Resident Students</t>
  </si>
  <si>
    <t>Campus</t>
  </si>
  <si>
    <t>Quarterly Payment Schedule</t>
  </si>
  <si>
    <r>
      <t>Interest Assessment Total</t>
    </r>
    <r>
      <rPr>
        <b/>
        <vertAlign val="superscript"/>
        <sz val="12"/>
        <rFont val="Times New Roman"/>
        <family val="1"/>
      </rPr>
      <t>1</t>
    </r>
  </si>
  <si>
    <t>Total</t>
  </si>
  <si>
    <t>SUF Revenue Increase</t>
  </si>
  <si>
    <t>Campus Code</t>
  </si>
  <si>
    <t>Academic Year</t>
  </si>
  <si>
    <t>Name</t>
  </si>
  <si>
    <t>Dollars</t>
  </si>
  <si>
    <t>%</t>
  </si>
  <si>
    <t xml:space="preserve">  Dollars  </t>
  </si>
  <si>
    <t>(Col. 2 less Col. 1)</t>
  </si>
  <si>
    <t>35</t>
  </si>
  <si>
    <t xml:space="preserve">Bakersfield       </t>
  </si>
  <si>
    <t>20</t>
  </si>
  <si>
    <t xml:space="preserve">Chico             </t>
  </si>
  <si>
    <t>55</t>
  </si>
  <si>
    <t xml:space="preserve">Dominguez Hills   </t>
  </si>
  <si>
    <t>05</t>
  </si>
  <si>
    <t>25</t>
  </si>
  <si>
    <t xml:space="preserve">Fresno            </t>
  </si>
  <si>
    <t>50</t>
  </si>
  <si>
    <t xml:space="preserve">Fullerton         </t>
  </si>
  <si>
    <t>30</t>
  </si>
  <si>
    <t xml:space="preserve">Humboldt          </t>
  </si>
  <si>
    <t>40</t>
  </si>
  <si>
    <t xml:space="preserve">Long Beach        </t>
  </si>
  <si>
    <t>45</t>
  </si>
  <si>
    <t xml:space="preserve">Los Angeles       </t>
  </si>
  <si>
    <t>06</t>
  </si>
  <si>
    <t>07</t>
  </si>
  <si>
    <t>70</t>
  </si>
  <si>
    <t xml:space="preserve">Northridge        </t>
  </si>
  <si>
    <t>10</t>
  </si>
  <si>
    <t xml:space="preserve">Pomona            </t>
  </si>
  <si>
    <t>60</t>
  </si>
  <si>
    <t xml:space="preserve">Sacramento        </t>
  </si>
  <si>
    <t>63</t>
  </si>
  <si>
    <t xml:space="preserve">San Bernardino    </t>
  </si>
  <si>
    <t>65</t>
  </si>
  <si>
    <t xml:space="preserve">San Diego         </t>
  </si>
  <si>
    <t>75</t>
  </si>
  <si>
    <t xml:space="preserve">San Francisco     </t>
  </si>
  <si>
    <t>80</t>
  </si>
  <si>
    <t xml:space="preserve">San Jose          </t>
  </si>
  <si>
    <t>15</t>
  </si>
  <si>
    <t xml:space="preserve">San Luis Obispo   </t>
  </si>
  <si>
    <t>68</t>
  </si>
  <si>
    <t xml:space="preserve">San Marcos        </t>
  </si>
  <si>
    <t>85</t>
  </si>
  <si>
    <t xml:space="preserve">Sonoma            </t>
  </si>
  <si>
    <t>90</t>
  </si>
  <si>
    <t xml:space="preserve">Stanislaus        </t>
  </si>
  <si>
    <t>Resident SUF Revenue Adjust. Net of SUG</t>
  </si>
  <si>
    <t>Non-Resident SUF Revenue Adjust. Net of SUG</t>
  </si>
  <si>
    <t>One-Third Financial Aid Set-Aside</t>
  </si>
  <si>
    <t>2008/09 FIRMS Final Budget Detail</t>
  </si>
  <si>
    <t>2009/10 Budget Plan Adjustments</t>
  </si>
  <si>
    <t>2009/10 Gross Budget Allocation</t>
  </si>
  <si>
    <t>2008/09 Retirement Adjustment</t>
  </si>
  <si>
    <t>Dental</t>
  </si>
  <si>
    <t>Uses of 2009/10 SUF Revenue Increase</t>
  </si>
  <si>
    <t>2008/09 Allocations From Final Budget Memo - July 2008</t>
  </si>
  <si>
    <t>2009/10 SUG Adjustment Distributed</t>
  </si>
  <si>
    <t xml:space="preserve">The 2009/10 interest chargeback by campus is based on the campus operating revenue equivalent to the 2008/09 SUF and Other Fee Revenue reported in 2008/09 FIRMS final budget submissions. </t>
  </si>
  <si>
    <t>Represents other CSU Operating Fund fee revenue (other 501XXX, 5800XX); also, the only reimbursements included is lease bond payments reimbursement in SWPs (which changes in 2009/10)</t>
  </si>
  <si>
    <t>Includes lease bond payment increase ($5.5M) and dental annuitant premium increase ($.73M)</t>
  </si>
  <si>
    <t>(Sum Cols. 1-2)</t>
  </si>
  <si>
    <t>2009/10 Net SUF Revenue Increase Offset</t>
  </si>
  <si>
    <t xml:space="preserve">Total 2009/10 SUG Funding Available / 100% Distributed Based on Need </t>
  </si>
  <si>
    <t>(Cols. 1+13)</t>
  </si>
  <si>
    <t>(Sum Cols. 3-4)</t>
  </si>
  <si>
    <r>
      <t xml:space="preserve">Revised General Fund Base              </t>
    </r>
    <r>
      <rPr>
        <i/>
        <sz val="9"/>
        <color indexed="8"/>
        <rFont val="Times New Roman"/>
        <family val="1"/>
      </rPr>
      <t>(with retirement adjustment)</t>
    </r>
  </si>
  <si>
    <r>
      <t xml:space="preserve">Revised General Fund Base             </t>
    </r>
    <r>
      <rPr>
        <i/>
        <sz val="9"/>
        <color indexed="8"/>
        <rFont val="Times New Roman"/>
        <family val="1"/>
      </rPr>
      <t xml:space="preserve"> (after $66.3M reduction)</t>
    </r>
  </si>
  <si>
    <t>Attach. B, Col. 13</t>
  </si>
  <si>
    <t>2009/10 SUF Revenue from 10% Rate Increase</t>
  </si>
  <si>
    <t>Total 2009/10 SUF Revenue Increase</t>
  </si>
  <si>
    <t>Total SUF Revenue Increase Net of SUG</t>
  </si>
  <si>
    <t>Total FTES</t>
  </si>
  <si>
    <t>Total One-Third Financial Aid Set-Aside</t>
  </si>
  <si>
    <r>
      <t>2009/10 Non-resident FTES</t>
    </r>
    <r>
      <rPr>
        <vertAlign val="superscript"/>
        <sz val="10"/>
        <rFont val="Times New Roman"/>
        <family val="1"/>
      </rPr>
      <t>2</t>
    </r>
  </si>
  <si>
    <r>
      <t>SUF Revenue Adjustment from Change in Student Enrollment Patterns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</si>
  <si>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Represents change in actual student enrollment patterns from 2006/07 to 2007/08 (most recent past-year actuals available)</t>
    </r>
  </si>
  <si>
    <r>
      <t>SUF Revenue Adjust. from Change in Actual Non-resident FTES and Student Enrollment Patterns</t>
    </r>
    <r>
      <rPr>
        <vertAlign val="superscript"/>
        <sz val="10"/>
        <rFont val="Times New Roman"/>
        <family val="1"/>
      </rPr>
      <t>1,2</t>
    </r>
  </si>
  <si>
    <t>-Attach. B, Col. 4</t>
  </si>
  <si>
    <t>Unallocated GF Reduction ($66.3M)</t>
  </si>
  <si>
    <r>
      <t xml:space="preserve">2009/10           General Fund Base </t>
    </r>
    <r>
      <rPr>
        <i/>
        <sz val="9"/>
        <rFont val="Times New Roman"/>
        <family val="1"/>
      </rPr>
      <t>(Before Budget Plan GF Increase on Attach. C)</t>
    </r>
  </si>
  <si>
    <t>GF adjustment for new space need is distributed based on pro-rata share of campus revised General Fund base (Column 5)</t>
  </si>
  <si>
    <r>
      <t>2</t>
    </r>
    <r>
      <rPr>
        <sz val="11"/>
        <rFont val="Times New Roman"/>
        <family val="1"/>
      </rPr>
      <t>2009/10 non-resident FTES budgeted by campus is the most recent past year actuals available (2007/08); the total 14,510 is an increase of 1,353 FTES from 2006/07 FTES of 13,157</t>
    </r>
  </si>
  <si>
    <r>
      <t xml:space="preserve">SUG Eligibility Based on 2007/08 </t>
    </r>
    <r>
      <rPr>
        <sz val="10"/>
        <rFont val="Times New Roman"/>
        <family val="1"/>
      </rPr>
      <t>Final Database With 2009/10 Fee Levels</t>
    </r>
  </si>
  <si>
    <t>Base Adjustments</t>
  </si>
  <si>
    <t>2009/10 SUG Adjustment from Projected 10 Percent SUF Rate Increase</t>
  </si>
  <si>
    <t>SUG Eligibility Further Adjusted to Reflect Funded Enrollment Targets from 2007/08 to 2009/10</t>
  </si>
  <si>
    <r>
      <t xml:space="preserve">Total Mandatory Costs                </t>
    </r>
    <r>
      <rPr>
        <i/>
        <sz val="10"/>
        <color indexed="8"/>
        <rFont val="Times New Roman"/>
        <family val="1"/>
      </rPr>
      <t>(not including new space)</t>
    </r>
  </si>
  <si>
    <r>
      <t>Total New Space Need</t>
    </r>
    <r>
      <rPr>
        <b/>
        <vertAlign val="superscript"/>
        <sz val="10"/>
        <rFont val="Times New Roman"/>
        <family val="1"/>
      </rPr>
      <t xml:space="preserve"> </t>
    </r>
  </si>
  <si>
    <t>GF Base Adjustments</t>
  </si>
  <si>
    <t>(Attach. C, Col. 11)</t>
  </si>
  <si>
    <t>Total 2009/10 support budget plan new space need to fund regular maintenance of new space is $10.15M, of which $4.21M is funded by fee revenue and remaining $5.94M is funded by GF base adjustment (Ref. Attach. C, Col. 9-11)</t>
  </si>
  <si>
    <t>(Cols. 2,4, 6-12)</t>
  </si>
  <si>
    <t>One-Third Set-Aside for Financial Aid from 2009/10 SUF Revenue Increase</t>
  </si>
  <si>
    <t>Financial Aid / State University Grant (SUG) Distribution Based on Need</t>
  </si>
  <si>
    <t>2008/09 Special Session Unallocated GF Reduction ($66.3M)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</si>
  <si>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The total CSU 2009/10 operating revenue interest assessment is $8.15M, which represents a $242,000 increase to the 2008/09 $7.9M payment.  CSU is obligated by budget statute to keep the State whole for interest earned on student fee revenue held in trust. This was the result of a State/CSU agreement when CSU support operations moved from the General Fund to the Trust Fund in 2006/07. </t>
    </r>
  </si>
  <si>
    <r>
      <t>(=Col. 3)</t>
    </r>
    <r>
      <rPr>
        <i/>
        <vertAlign val="superscript"/>
        <sz val="9"/>
        <rFont val="Times New Roman"/>
        <family val="1"/>
      </rPr>
      <t>1</t>
    </r>
  </si>
  <si>
    <t xml:space="preserve">The components of the unallocated reduction are $71,000 for Center for California Studies (Fellows Program) at CSU Sacramento with remaining -$66.232 million distributed based on campus, Chancellor’s Office and Systemwide Provisions pro-rata share of General Fund base (after retirement adjustment, Col. 3) excluding lease bond payments, deferred maintenance bond payments, other required / statutory programs, and International Programs, Summer Arts, and CalStateTeach. </t>
  </si>
  <si>
    <t>Mandatory Costs and PPI Program</t>
  </si>
  <si>
    <t>Faculty PPI Program</t>
  </si>
  <si>
    <t>2009/10 CSU Preliminary Budget Allocation</t>
  </si>
  <si>
    <t>ATTACHMENT A -  2009/10 Preliminary Budget Allocations, Gross Budget Summary</t>
  </si>
  <si>
    <t>ATTACHMENT B -  2009/10 Preliminary Budget Allocations, Base Budget Adjustments</t>
  </si>
  <si>
    <t>2009/10 Preliminary Budget Totals</t>
  </si>
  <si>
    <t>ATTACHMENT D - 2009/10 Preliminary Budget, State University Fee (SUF) Revenue Adjustment, Financial Aid Set-Aside, and Enrollment (FTES) Target</t>
  </si>
  <si>
    <t>ATTACHMENT E -  2009/10 Preliminary Budget, State University Grant (SUG) Adjustment Distributed</t>
  </si>
  <si>
    <t>(Included with the 2009/10 Preliminary Budget allocation memo for information purposes)</t>
  </si>
  <si>
    <r>
      <t>1</t>
    </r>
    <r>
      <rPr>
        <sz val="11"/>
        <rFont val="Times New Roman"/>
        <family val="1"/>
      </rPr>
      <t>Includes 2009/10 revenue net of financial aid from 10% increase in SUF Rates, as well as revenue from change in enrollment patterns including growth in non-resident student FTES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</si>
  <si>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Includes 2008/09 new space need @ $9.10 sq. ft. and 2009/10 new space need @ $9.41 sq. ft.</t>
    </r>
  </si>
  <si>
    <t>(Sum Cols. 1-4)</t>
  </si>
  <si>
    <t>(Col. 7 - (5+6))</t>
  </si>
  <si>
    <t>Lottery Modernization Act</t>
  </si>
  <si>
    <t xml:space="preserve">Related to the Lottery Modernization Act, CSU would receive General Fund in place of lottery appropriations; requires voter approval in special May 19, 2009 election </t>
  </si>
  <si>
    <t>2009/10 Resident FTES Targets (no change since 2007/08)</t>
  </si>
  <si>
    <t>(Cols. 1+5)</t>
  </si>
  <si>
    <t>(Cols. 2+6)</t>
  </si>
  <si>
    <t>(Sum Cols. 7-9)</t>
  </si>
  <si>
    <t>(Sum Cols. 2-4)</t>
  </si>
  <si>
    <t>(Cols. 1+6)</t>
  </si>
  <si>
    <t>(Cols. 2+4+7+9)</t>
  </si>
  <si>
    <t>(Cols. 3+8)</t>
  </si>
  <si>
    <t>(Cols. 12+13)</t>
  </si>
  <si>
    <t>Attach. D, Col. 12</t>
  </si>
  <si>
    <t>Attach D, Col. 13</t>
  </si>
  <si>
    <t>Attach. D, Col. 14</t>
  </si>
  <si>
    <t>New Space Need Funded by GF Base Adjustments</t>
  </si>
  <si>
    <t>Use of Revenue for New Space Need</t>
  </si>
  <si>
    <t>New Space Funded by Campus Remaining Revenue</t>
  </si>
  <si>
    <t>New Space Funded by GF Base Adjustments</t>
  </si>
  <si>
    <t>Remaining Revenue for New Space</t>
  </si>
  <si>
    <t>GF Base Adjustment for New Space Need</t>
  </si>
  <si>
    <t xml:space="preserve">ATTACHMENT F -  2009/10 Preliminary Budget Allocations, </t>
  </si>
  <si>
    <t>ATTACHMENT C - 2009/10 Preliminary Budget, Uses of 2009/10 State University Fee (SUF) Revenue Increase</t>
  </si>
  <si>
    <t>Attachment G, CSU Operating Revenue - 2009/10 Interest Payment Schedule</t>
  </si>
  <si>
    <t>March 5, 2009, Coded Memo B 09-01</t>
  </si>
  <si>
    <r>
      <t>General Fund Allocation</t>
    </r>
    <r>
      <rPr>
        <vertAlign val="superscript"/>
        <sz val="10"/>
        <rFont val="Times New Roman"/>
        <family val="1"/>
      </rPr>
      <t>2</t>
    </r>
  </si>
  <si>
    <t>Includes $255 million of federal funds related to Governor's veto message in SBX3 1</t>
  </si>
  <si>
    <r>
      <t>B 08-03 General Fund Allocation</t>
    </r>
    <r>
      <rPr>
        <sz val="9"/>
        <rFont val="Times New Roman"/>
        <family val="1"/>
      </rPr>
      <t xml:space="preserve"> </t>
    </r>
    <r>
      <rPr>
        <i/>
        <sz val="8"/>
        <rFont val="Times New Roman"/>
        <family val="1"/>
      </rPr>
      <t>(September 2008)</t>
    </r>
  </si>
  <si>
    <r>
      <t xml:space="preserve">2008/09 General Fund Allocation       B08-03       </t>
    </r>
    <r>
      <rPr>
        <i/>
        <sz val="9"/>
        <rFont val="Times New Roman"/>
        <family val="1"/>
      </rPr>
      <t>(September 2008)</t>
    </r>
  </si>
  <si>
    <t>CSU $50 Million Contingent Reduction</t>
  </si>
  <si>
    <t>Distribution of $50 Million Contingent Reduction</t>
  </si>
  <si>
    <t xml:space="preserve">The $242,000 is an increase to the $7.9M 2008/09 CSU operating revenue interest due to the state for a 2009/10 total of $8.15M (reference the 2009/10 interest assessment payment schedule by campus, Attachment G)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</si>
</sst>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0.000%"/>
    <numFmt numFmtId="167" formatCode="&quot;$&quot;#,##0"/>
    <numFmt numFmtId="168" formatCode="mmmm\-yy"/>
    <numFmt numFmtId="169" formatCode="#,##0.0_);\(#,##0.0\)"/>
    <numFmt numFmtId="170" formatCode="&quot;$&quot;#,##0.0_);\(&quot;$&quot;#,##0.0\)"/>
    <numFmt numFmtId="171" formatCode="0.0000%"/>
    <numFmt numFmtId="172" formatCode="0.00000%"/>
    <numFmt numFmtId="173" formatCode="0.000000%"/>
    <numFmt numFmtId="174" formatCode="_(* #,##0.0_);_(* \(#,##0.0\);_(* &quot;-&quot;??_);_(@_)"/>
    <numFmt numFmtId="175" formatCode="_(* #,##0_);_(* \(#,##0\);_(* &quot;-&quot;??_);_(@_)"/>
    <numFmt numFmtId="176" formatCode="#,##0_____);\-#,##0_____)"/>
    <numFmt numFmtId="177" formatCode="#,##0_______);\-#,##0_______)"/>
    <numFmt numFmtId="178" formatCode="#,##0.0"/>
    <numFmt numFmtId="179" formatCode="#,##0.0_______);\-#,##0.0_______)"/>
    <numFmt numFmtId="180" formatCode="#,##0.#####"/>
    <numFmt numFmtId="181" formatCode="###0"/>
    <numFmt numFmtId="182" formatCode="\+#,##0"/>
    <numFmt numFmtId="183" formatCode="mm/dd/yy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[$-409]dddd\,\ mmmm\ dd\,\ yyyy"/>
    <numFmt numFmtId="197" formatCode="mmm\-yyyy"/>
    <numFmt numFmtId="198" formatCode="&quot;$&quot;#,##0.000_);\(&quot;$&quot;#,##0.000\)"/>
    <numFmt numFmtId="199" formatCode="&quot;$&quot;#,##0.0000_);\(&quot;$&quot;#,##0.0000\)"/>
    <numFmt numFmtId="200" formatCode="&quot;$&quot;#,##0.00000_);\(&quot;$&quot;#,##0.00000\)"/>
    <numFmt numFmtId="201" formatCode="&quot;$&quot;#,##0.000000_);\(&quot;$&quot;#,##0.000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00000_);\(&quot;$&quot;#,##0.0000000\)"/>
    <numFmt numFmtId="207" formatCode="#,##0.000_);\(#,##0.000\)"/>
    <numFmt numFmtId="208" formatCode="#,##0.0000_);\(#,##0.0000\)"/>
    <numFmt numFmtId="209" formatCode="#,##0.00000_);\(#,##0.00000\)"/>
    <numFmt numFmtId="210" formatCode="#,##0.000000_);\(#,##0.000000\)"/>
    <numFmt numFmtId="211" formatCode="#,##0.0000000_);\(#,##0.0000000\)"/>
    <numFmt numFmtId="212" formatCode="#,##0.00000000_);\(#,##0.00000000\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000000_);\(#,##0.000000000\)"/>
    <numFmt numFmtId="216" formatCode="#,##0.0000000000_);\(#,##0.0000000000\)"/>
    <numFmt numFmtId="217" formatCode="&quot;$&quot;#,##0.00000"/>
    <numFmt numFmtId="218" formatCode="&quot;$&quot;#,##0.0000000"/>
    <numFmt numFmtId="219" formatCode="_(* #,##0.000_);_(* \(#,##0.000\);_(* &quot;-&quot;??_);_(@_)"/>
    <numFmt numFmtId="220" formatCode="_(* #,##0.0000_);_(* \(#,##0.0000\);_(* &quot;-&quot;??_);_(@_)"/>
    <numFmt numFmtId="221" formatCode="_(* #,##0.00000_);_(* \(#,##0.00000\);_(* &quot;-&quot;??_);_(@_)"/>
    <numFmt numFmtId="222" formatCode="_(* #,##0.000000_);_(* \(#,##0.000000\);_(* &quot;-&quot;??_);_(@_)"/>
    <numFmt numFmtId="223" formatCode="_(* #,##0.000000_);_(* \(#,##0.000000\);_(* &quot;-&quot;??????_);_(@_)"/>
    <numFmt numFmtId="224" formatCode="0.000000000"/>
  </numFmts>
  <fonts count="8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19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Arial"/>
      <family val="2"/>
    </font>
    <font>
      <b/>
      <sz val="13"/>
      <color indexed="8"/>
      <name val="Times New Roman"/>
      <family val="1"/>
    </font>
    <font>
      <b/>
      <i/>
      <sz val="12"/>
      <name val="Times New Roman"/>
      <family val="1"/>
    </font>
    <font>
      <i/>
      <vertAlign val="superscript"/>
      <sz val="9"/>
      <name val="Times New Roman"/>
      <family val="1"/>
    </font>
    <font>
      <vertAlign val="superscript"/>
      <sz val="11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Times New Roman"/>
      <family val="1"/>
    </font>
    <font>
      <vertAlign val="superscript"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37" fontId="9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5" fillId="0" borderId="0" xfId="0" applyNumberFormat="1" applyFont="1" applyFill="1" applyAlignment="1">
      <alignment/>
    </xf>
    <xf numFmtId="37" fontId="3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ill="1" applyAlignment="1">
      <alignment vertical="center"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Alignment="1">
      <alignment horizontal="center" vertical="center" wrapText="1"/>
    </xf>
    <xf numFmtId="37" fontId="0" fillId="0" borderId="0" xfId="0" applyNumberFormat="1" applyFill="1" applyAlignment="1">
      <alignment horizontal="center"/>
    </xf>
    <xf numFmtId="5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5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5" fontId="0" fillId="0" borderId="11" xfId="0" applyNumberFormat="1" applyFill="1" applyBorder="1" applyAlignment="1">
      <alignment/>
    </xf>
    <xf numFmtId="5" fontId="0" fillId="0" borderId="12" xfId="0" applyNumberFormat="1" applyFill="1" applyBorder="1" applyAlignment="1">
      <alignment/>
    </xf>
    <xf numFmtId="37" fontId="0" fillId="0" borderId="10" xfId="0" applyNumberFormat="1" applyFill="1" applyBorder="1" applyAlignment="1">
      <alignment horizontal="center" wrapText="1"/>
    </xf>
    <xf numFmtId="37" fontId="0" fillId="0" borderId="10" xfId="0" applyNumberFormat="1" applyFont="1" applyFill="1" applyBorder="1" applyAlignment="1">
      <alignment horizontal="center" wrapText="1"/>
    </xf>
    <xf numFmtId="37" fontId="0" fillId="0" borderId="0" xfId="0" applyNumberFormat="1" applyFill="1" applyAlignment="1">
      <alignment horizontal="center" wrapText="1"/>
    </xf>
    <xf numFmtId="37" fontId="4" fillId="0" borderId="0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Fill="1" applyBorder="1" applyAlignment="1">
      <alignment horizontal="center" vertical="center" wrapText="1"/>
    </xf>
    <xf numFmtId="37" fontId="0" fillId="0" borderId="0" xfId="0" applyNumberFormat="1" applyFont="1" applyFill="1" applyAlignment="1" applyProtection="1">
      <alignment/>
      <protection locked="0"/>
    </xf>
    <xf numFmtId="5" fontId="9" fillId="0" borderId="12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37" fontId="8" fillId="0" borderId="0" xfId="0" applyNumberFormat="1" applyFont="1" applyFill="1" applyBorder="1" applyAlignment="1">
      <alignment horizontal="right" vertical="top" wrapText="1"/>
    </xf>
    <xf numFmtId="37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 wrapText="1"/>
    </xf>
    <xf numFmtId="37" fontId="0" fillId="0" borderId="0" xfId="0" applyNumberFormat="1" applyFont="1" applyFill="1" applyBorder="1" applyAlignment="1">
      <alignment horizontal="center" wrapText="1"/>
    </xf>
    <xf numFmtId="37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5" fontId="0" fillId="0" borderId="0" xfId="0" applyNumberFormat="1" applyFont="1" applyFill="1" applyBorder="1" applyAlignment="1">
      <alignment/>
    </xf>
    <xf numFmtId="37" fontId="8" fillId="0" borderId="0" xfId="0" applyNumberFormat="1" applyFont="1" applyFill="1" applyAlignment="1">
      <alignment vertical="top"/>
    </xf>
    <xf numFmtId="37" fontId="0" fillId="0" borderId="0" xfId="0" applyNumberFormat="1" applyFill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37" fontId="6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13" fillId="0" borderId="0" xfId="0" applyNumberFormat="1" applyFont="1" applyFill="1" applyAlignment="1">
      <alignment/>
    </xf>
    <xf numFmtId="37" fontId="8" fillId="0" borderId="0" xfId="0" applyNumberFormat="1" applyFont="1" applyFill="1" applyBorder="1" applyAlignment="1">
      <alignment horizontal="left" wrapText="1"/>
    </xf>
    <xf numFmtId="37" fontId="14" fillId="0" borderId="13" xfId="0" applyNumberFormat="1" applyFont="1" applyFill="1" applyBorder="1" applyAlignment="1">
      <alignment horizontal="center" wrapText="1"/>
    </xf>
    <xf numFmtId="37" fontId="0" fillId="0" borderId="0" xfId="0" applyNumberFormat="1" applyFont="1" applyFill="1" applyBorder="1" applyAlignment="1" quotePrefix="1">
      <alignment horizontal="center" wrapText="1"/>
    </xf>
    <xf numFmtId="37" fontId="13" fillId="0" borderId="0" xfId="0" applyNumberFormat="1" applyFont="1" applyFill="1" applyBorder="1" applyAlignment="1">
      <alignment horizontal="right" indent="1"/>
    </xf>
    <xf numFmtId="37" fontId="0" fillId="0" borderId="0" xfId="0" applyNumberFormat="1" applyFont="1" applyFill="1" applyBorder="1" applyAlignment="1">
      <alignment horizontal="right" indent="1"/>
    </xf>
    <xf numFmtId="0" fontId="0" fillId="0" borderId="0" xfId="0" applyFont="1" applyBorder="1" applyAlignment="1">
      <alignment horizontal="center" wrapText="1"/>
    </xf>
    <xf numFmtId="37" fontId="0" fillId="0" borderId="0" xfId="0" applyNumberFormat="1" applyFill="1" applyBorder="1" applyAlignment="1">
      <alignment horizontal="center" wrapText="1"/>
    </xf>
    <xf numFmtId="37" fontId="9" fillId="0" borderId="14" xfId="0" applyNumberFormat="1" applyFont="1" applyFill="1" applyBorder="1" applyAlignment="1">
      <alignment horizontal="center" wrapText="1"/>
    </xf>
    <xf numFmtId="37" fontId="9" fillId="0" borderId="0" xfId="0" applyNumberFormat="1" applyFont="1" applyFill="1" applyAlignment="1">
      <alignment/>
    </xf>
    <xf numFmtId="37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center" wrapText="1"/>
    </xf>
    <xf numFmtId="37" fontId="9" fillId="0" borderId="13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37" fontId="17" fillId="0" borderId="0" xfId="0" applyNumberFormat="1" applyFont="1" applyFill="1" applyBorder="1" applyAlignment="1">
      <alignment horizontal="left"/>
    </xf>
    <xf numFmtId="37" fontId="18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 horizontal="center" wrapText="1"/>
    </xf>
    <xf numFmtId="37" fontId="9" fillId="0" borderId="0" xfId="0" applyNumberFormat="1" applyFont="1" applyFill="1" applyBorder="1" applyAlignment="1">
      <alignment horizontal="center" wrapText="1"/>
    </xf>
    <xf numFmtId="37" fontId="9" fillId="0" borderId="0" xfId="0" applyNumberFormat="1" applyFont="1" applyFill="1" applyAlignment="1">
      <alignment horizontal="center"/>
    </xf>
    <xf numFmtId="37" fontId="17" fillId="0" borderId="0" xfId="0" applyNumberFormat="1" applyFont="1" applyFill="1" applyBorder="1" applyAlignment="1">
      <alignment horizontal="left" vertical="top"/>
    </xf>
    <xf numFmtId="37" fontId="0" fillId="0" borderId="14" xfId="0" applyNumberFormat="1" applyFont="1" applyFill="1" applyBorder="1" applyAlignment="1">
      <alignment horizontal="center" wrapText="1"/>
    </xf>
    <xf numFmtId="37" fontId="20" fillId="0" borderId="0" xfId="0" applyNumberFormat="1" applyFont="1" applyFill="1" applyBorder="1" applyAlignment="1" quotePrefix="1">
      <alignment horizontal="center" wrapText="1"/>
    </xf>
    <xf numFmtId="37" fontId="17" fillId="0" borderId="0" xfId="0" applyNumberFormat="1" applyFont="1" applyFill="1" applyBorder="1" applyAlignment="1">
      <alignment horizontal="left" vertical="top" wrapText="1"/>
    </xf>
    <xf numFmtId="37" fontId="6" fillId="0" borderId="13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 applyAlignment="1">
      <alignment horizontal="center" wrapText="1"/>
    </xf>
    <xf numFmtId="37" fontId="3" fillId="0" borderId="15" xfId="0" applyNumberFormat="1" applyFont="1" applyFill="1" applyBorder="1" applyAlignment="1">
      <alignment horizontal="center"/>
    </xf>
    <xf numFmtId="37" fontId="0" fillId="0" borderId="13" xfId="0" applyNumberFormat="1" applyFill="1" applyBorder="1" applyAlignment="1">
      <alignment horizontal="center" wrapText="1"/>
    </xf>
    <xf numFmtId="37" fontId="9" fillId="0" borderId="0" xfId="0" applyNumberFormat="1" applyFont="1" applyFill="1" applyBorder="1" applyAlignment="1">
      <alignment horizontal="center"/>
    </xf>
    <xf numFmtId="37" fontId="21" fillId="0" borderId="0" xfId="0" applyNumberFormat="1" applyFont="1" applyFill="1" applyBorder="1" applyAlignment="1">
      <alignment horizontal="center" wrapText="1"/>
    </xf>
    <xf numFmtId="37" fontId="23" fillId="0" borderId="0" xfId="0" applyNumberFormat="1" applyFont="1" applyFill="1" applyBorder="1" applyAlignment="1">
      <alignment horizontal="center" wrapText="1"/>
    </xf>
    <xf numFmtId="37" fontId="22" fillId="0" borderId="0" xfId="0" applyNumberFormat="1" applyFont="1" applyFill="1" applyAlignment="1">
      <alignment/>
    </xf>
    <xf numFmtId="37" fontId="24" fillId="0" borderId="0" xfId="0" applyNumberFormat="1" applyFont="1" applyFill="1" applyBorder="1" applyAlignment="1">
      <alignment horizontal="center" wrapText="1"/>
    </xf>
    <xf numFmtId="37" fontId="25" fillId="0" borderId="0" xfId="0" applyNumberFormat="1" applyFont="1" applyFill="1" applyAlignment="1">
      <alignment/>
    </xf>
    <xf numFmtId="37" fontId="18" fillId="0" borderId="0" xfId="0" applyNumberFormat="1" applyFont="1" applyFill="1" applyAlignment="1">
      <alignment horizontal="left"/>
    </xf>
    <xf numFmtId="37" fontId="5" fillId="0" borderId="0" xfId="0" applyNumberFormat="1" applyFont="1" applyFill="1" applyBorder="1" applyAlignment="1">
      <alignment horizontal="left"/>
    </xf>
    <xf numFmtId="37" fontId="9" fillId="0" borderId="0" xfId="0" applyNumberFormat="1" applyFont="1" applyFill="1" applyAlignment="1">
      <alignment horizontal="left"/>
    </xf>
    <xf numFmtId="37" fontId="6" fillId="0" borderId="0" xfId="0" applyNumberFormat="1" applyFont="1" applyFill="1" applyBorder="1" applyAlignment="1">
      <alignment horizontal="left"/>
    </xf>
    <xf numFmtId="5" fontId="13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/>
    </xf>
    <xf numFmtId="5" fontId="13" fillId="0" borderId="11" xfId="0" applyNumberFormat="1" applyFont="1" applyFill="1" applyBorder="1" applyAlignment="1">
      <alignment/>
    </xf>
    <xf numFmtId="5" fontId="13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37" fontId="19" fillId="0" borderId="0" xfId="0" applyNumberFormat="1" applyFont="1" applyFill="1" applyAlignment="1">
      <alignment/>
    </xf>
    <xf numFmtId="37" fontId="17" fillId="0" borderId="0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37" fontId="4" fillId="0" borderId="0" xfId="0" applyNumberFormat="1" applyFont="1" applyFill="1" applyAlignment="1">
      <alignment horizontal="center" wrapText="1"/>
    </xf>
    <xf numFmtId="37" fontId="18" fillId="0" borderId="0" xfId="0" applyNumberFormat="1" applyFont="1" applyFill="1" applyBorder="1" applyAlignment="1">
      <alignment horizontal="center"/>
    </xf>
    <xf numFmtId="37" fontId="3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3" fillId="0" borderId="0" xfId="0" applyFont="1" applyBorder="1" applyAlignment="1">
      <alignment vertical="top"/>
    </xf>
    <xf numFmtId="37" fontId="19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 horizontal="center" wrapText="1"/>
    </xf>
    <xf numFmtId="37" fontId="17" fillId="0" borderId="0" xfId="0" applyNumberFormat="1" applyFont="1" applyFill="1" applyAlignment="1">
      <alignment/>
    </xf>
    <xf numFmtId="37" fontId="13" fillId="0" borderId="0" xfId="0" applyNumberFormat="1" applyFont="1" applyFill="1" applyAlignment="1">
      <alignment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28" fillId="0" borderId="0" xfId="63" applyFont="1">
      <alignment/>
      <protection/>
    </xf>
    <xf numFmtId="37" fontId="5" fillId="0" borderId="0" xfId="63" applyNumberFormat="1" applyFont="1" applyFill="1" applyBorder="1" applyAlignment="1">
      <alignment horizontal="center" vertical="center"/>
      <protection/>
    </xf>
    <xf numFmtId="37" fontId="5" fillId="0" borderId="0" xfId="63" applyNumberFormat="1" applyFont="1" applyFill="1" applyBorder="1" applyAlignment="1">
      <alignment horizontal="center" wrapText="1"/>
      <protection/>
    </xf>
    <xf numFmtId="197" fontId="5" fillId="0" borderId="0" xfId="63" applyNumberFormat="1" applyFont="1" applyBorder="1" applyAlignment="1">
      <alignment horizontal="center" wrapText="1"/>
      <protection/>
    </xf>
    <xf numFmtId="0" fontId="5" fillId="0" borderId="0" xfId="63" applyFont="1" applyBorder="1" applyAlignment="1">
      <alignment horizontal="center" wrapText="1"/>
      <protection/>
    </xf>
    <xf numFmtId="37" fontId="28" fillId="0" borderId="0" xfId="63" applyNumberFormat="1" applyFont="1" applyFill="1" applyBorder="1" applyAlignment="1">
      <alignment horizontal="center" vertical="center" wrapText="1"/>
      <protection/>
    </xf>
    <xf numFmtId="5" fontId="6" fillId="0" borderId="0" xfId="63" applyNumberFormat="1" applyFont="1" applyFill="1" applyBorder="1">
      <alignment/>
      <protection/>
    </xf>
    <xf numFmtId="37" fontId="6" fillId="0" borderId="0" xfId="63" applyNumberFormat="1" applyFont="1" applyFill="1" applyBorder="1">
      <alignment/>
      <protection/>
    </xf>
    <xf numFmtId="175" fontId="6" fillId="0" borderId="0" xfId="46" applyNumberFormat="1" applyFont="1" applyBorder="1" applyAlignment="1">
      <alignment/>
    </xf>
    <xf numFmtId="175" fontId="6" fillId="0" borderId="15" xfId="46" applyNumberFormat="1" applyFont="1" applyBorder="1" applyAlignment="1">
      <alignment/>
    </xf>
    <xf numFmtId="5" fontId="5" fillId="0" borderId="0" xfId="63" applyNumberFormat="1" applyFont="1" applyFill="1" applyBorder="1">
      <alignment/>
      <protection/>
    </xf>
    <xf numFmtId="0" fontId="5" fillId="0" borderId="0" xfId="63" applyFont="1" applyBorder="1">
      <alignment/>
      <protection/>
    </xf>
    <xf numFmtId="5" fontId="13" fillId="0" borderId="11" xfId="0" applyNumberFormat="1" applyFont="1" applyFill="1" applyBorder="1" applyAlignment="1">
      <alignment/>
    </xf>
    <xf numFmtId="49" fontId="16" fillId="0" borderId="0" xfId="0" applyNumberFormat="1" applyFont="1" applyBorder="1" applyAlignment="1">
      <alignment horizontal="center" wrapText="1"/>
    </xf>
    <xf numFmtId="5" fontId="13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5" fontId="13" fillId="0" borderId="0" xfId="0" applyNumberFormat="1" applyFont="1" applyBorder="1" applyAlignment="1">
      <alignment/>
    </xf>
    <xf numFmtId="37" fontId="13" fillId="0" borderId="0" xfId="0" applyNumberFormat="1" applyFont="1" applyBorder="1" applyAlignment="1">
      <alignment/>
    </xf>
    <xf numFmtId="5" fontId="13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3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7" fontId="13" fillId="0" borderId="11" xfId="0" applyNumberFormat="1" applyFont="1" applyFill="1" applyBorder="1" applyAlignment="1">
      <alignment/>
    </xf>
    <xf numFmtId="37" fontId="13" fillId="0" borderId="12" xfId="0" applyNumberFormat="1" applyFont="1" applyFill="1" applyBorder="1" applyAlignment="1">
      <alignment/>
    </xf>
    <xf numFmtId="5" fontId="13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7" fontId="19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38" fontId="13" fillId="0" borderId="0" xfId="0" applyNumberFormat="1" applyFont="1" applyFill="1" applyAlignment="1">
      <alignment/>
    </xf>
    <xf numFmtId="5" fontId="13" fillId="0" borderId="16" xfId="0" applyNumberFormat="1" applyFont="1" applyFill="1" applyBorder="1" applyAlignment="1">
      <alignment/>
    </xf>
    <xf numFmtId="5" fontId="13" fillId="0" borderId="0" xfId="0" applyNumberFormat="1" applyFont="1" applyFill="1" applyAlignment="1">
      <alignment/>
    </xf>
    <xf numFmtId="5" fontId="13" fillId="0" borderId="13" xfId="0" applyNumberFormat="1" applyFont="1" applyFill="1" applyBorder="1" applyAlignment="1">
      <alignment/>
    </xf>
    <xf numFmtId="37" fontId="13" fillId="0" borderId="13" xfId="0" applyNumberFormat="1" applyFont="1" applyFill="1" applyBorder="1" applyAlignment="1">
      <alignment/>
    </xf>
    <xf numFmtId="5" fontId="13" fillId="0" borderId="17" xfId="0" applyNumberFormat="1" applyFont="1" applyFill="1" applyBorder="1" applyAlignment="1">
      <alignment/>
    </xf>
    <xf numFmtId="5" fontId="13" fillId="0" borderId="18" xfId="0" applyNumberFormat="1" applyFont="1" applyFill="1" applyBorder="1" applyAlignment="1">
      <alignment/>
    </xf>
    <xf numFmtId="37" fontId="15" fillId="0" borderId="0" xfId="0" applyNumberFormat="1" applyFont="1" applyFill="1" applyAlignment="1">
      <alignment/>
    </xf>
    <xf numFmtId="37" fontId="31" fillId="0" borderId="0" xfId="0" applyNumberFormat="1" applyFont="1" applyFill="1" applyAlignment="1">
      <alignment horizontal="left"/>
    </xf>
    <xf numFmtId="37" fontId="31" fillId="0" borderId="0" xfId="0" applyNumberFormat="1" applyFont="1" applyFill="1" applyAlignment="1">
      <alignment/>
    </xf>
    <xf numFmtId="37" fontId="32" fillId="0" borderId="0" xfId="0" applyNumberFormat="1" applyFont="1" applyFill="1" applyAlignment="1" quotePrefix="1">
      <alignment horizontal="right"/>
    </xf>
    <xf numFmtId="0" fontId="0" fillId="0" borderId="0" xfId="0" applyFont="1" applyFill="1" applyBorder="1" applyAlignment="1">
      <alignment horizontal="center" wrapText="1"/>
    </xf>
    <xf numFmtId="37" fontId="17" fillId="0" borderId="0" xfId="0" applyNumberFormat="1" applyFont="1" applyFill="1" applyBorder="1" applyAlignment="1">
      <alignment vertical="top" wrapText="1"/>
    </xf>
    <xf numFmtId="37" fontId="7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7" fontId="16" fillId="0" borderId="0" xfId="0" applyNumberFormat="1" applyFont="1" applyFill="1" applyBorder="1" applyAlignment="1">
      <alignment horizontal="right" indent="1"/>
    </xf>
    <xf numFmtId="37" fontId="0" fillId="0" borderId="0" xfId="0" applyNumberFormat="1" applyFill="1" applyBorder="1" applyAlignment="1">
      <alignment horizontal="center"/>
    </xf>
    <xf numFmtId="37" fontId="5" fillId="0" borderId="0" xfId="0" applyNumberFormat="1" applyFont="1" applyFill="1" applyAlignment="1">
      <alignment horizontal="center" vertical="center"/>
    </xf>
    <xf numFmtId="37" fontId="10" fillId="0" borderId="0" xfId="0" applyNumberFormat="1" applyFont="1" applyFill="1" applyBorder="1" applyAlignment="1" quotePrefix="1">
      <alignment horizontal="center" vertical="center" wrapText="1"/>
    </xf>
    <xf numFmtId="37" fontId="17" fillId="0" borderId="0" xfId="0" applyNumberFormat="1" applyFon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37" fontId="0" fillId="0" borderId="0" xfId="0" applyNumberFormat="1" applyFill="1" applyAlignment="1">
      <alignment horizontal="center" vertical="top"/>
    </xf>
    <xf numFmtId="37" fontId="13" fillId="0" borderId="0" xfId="0" applyNumberFormat="1" applyFont="1" applyFill="1" applyBorder="1" applyAlignment="1">
      <alignment horizontal="center"/>
    </xf>
    <xf numFmtId="5" fontId="79" fillId="0" borderId="0" xfId="0" applyNumberFormat="1" applyFont="1" applyFill="1" applyBorder="1" applyAlignment="1">
      <alignment/>
    </xf>
    <xf numFmtId="37" fontId="79" fillId="0" borderId="0" xfId="0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37" fontId="25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 vertical="center"/>
    </xf>
    <xf numFmtId="37" fontId="22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left" wrapText="1"/>
    </xf>
    <xf numFmtId="37" fontId="12" fillId="0" borderId="0" xfId="0" applyNumberFormat="1" applyFont="1" applyFill="1" applyAlignment="1">
      <alignment/>
    </xf>
    <xf numFmtId="37" fontId="12" fillId="0" borderId="0" xfId="0" applyNumberFormat="1" applyFont="1" applyFill="1" applyBorder="1" applyAlignment="1">
      <alignment horizontal="center"/>
    </xf>
    <xf numFmtId="37" fontId="12" fillId="0" borderId="14" xfId="0" applyNumberFormat="1" applyFont="1" applyFill="1" applyBorder="1" applyAlignment="1">
      <alignment horizontal="center"/>
    </xf>
    <xf numFmtId="37" fontId="12" fillId="0" borderId="0" xfId="0" applyNumberFormat="1" applyFont="1" applyFill="1" applyAlignment="1">
      <alignment horizontal="center"/>
    </xf>
    <xf numFmtId="37" fontId="80" fillId="0" borderId="0" xfId="0" applyNumberFormat="1" applyFont="1" applyFill="1" applyBorder="1" applyAlignment="1">
      <alignment horizontal="center" wrapText="1"/>
    </xf>
    <xf numFmtId="5" fontId="13" fillId="0" borderId="13" xfId="0" applyNumberFormat="1" applyFont="1" applyFill="1" applyBorder="1" applyAlignment="1">
      <alignment horizontal="right" indent="1"/>
    </xf>
    <xf numFmtId="37" fontId="13" fillId="0" borderId="13" xfId="0" applyNumberFormat="1" applyFont="1" applyFill="1" applyBorder="1" applyAlignment="1">
      <alignment horizontal="right" indent="1"/>
    </xf>
    <xf numFmtId="5" fontId="13" fillId="0" borderId="17" xfId="0" applyNumberFormat="1" applyFont="1" applyFill="1" applyBorder="1" applyAlignment="1">
      <alignment horizontal="right" indent="1"/>
    </xf>
    <xf numFmtId="5" fontId="13" fillId="0" borderId="18" xfId="0" applyNumberFormat="1" applyFont="1" applyFill="1" applyBorder="1" applyAlignment="1">
      <alignment horizontal="right" indent="1"/>
    </xf>
    <xf numFmtId="0" fontId="15" fillId="0" borderId="0" xfId="63" applyFont="1">
      <alignment/>
      <protection/>
    </xf>
    <xf numFmtId="0" fontId="15" fillId="0" borderId="0" xfId="61" applyFont="1" applyFill="1" applyBorder="1" applyAlignment="1">
      <alignment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5" fillId="0" borderId="0" xfId="61" applyFont="1" applyFill="1" applyBorder="1" applyAlignment="1">
      <alignment/>
      <protection/>
    </xf>
    <xf numFmtId="37" fontId="12" fillId="0" borderId="0" xfId="61" applyNumberFormat="1" applyFont="1" applyFill="1" applyBorder="1" applyAlignment="1">
      <alignment horizontal="center"/>
      <protection/>
    </xf>
    <xf numFmtId="0" fontId="0" fillId="0" borderId="19" xfId="61" applyFont="1" applyFill="1" applyBorder="1">
      <alignment/>
      <protection/>
    </xf>
    <xf numFmtId="0" fontId="0" fillId="0" borderId="20" xfId="61" applyFont="1" applyFill="1" applyBorder="1">
      <alignment/>
      <protection/>
    </xf>
    <xf numFmtId="0" fontId="0" fillId="0" borderId="20" xfId="61" applyFont="1" applyFill="1" applyBorder="1" applyAlignment="1" quotePrefix="1">
      <alignment horizontal="centerContinuous"/>
      <protection/>
    </xf>
    <xf numFmtId="0" fontId="0" fillId="0" borderId="0" xfId="61" applyFont="1" applyFill="1" applyBorder="1" applyAlignment="1">
      <alignment/>
      <protection/>
    </xf>
    <xf numFmtId="0" fontId="0" fillId="0" borderId="21" xfId="61" applyFont="1" applyFill="1" applyBorder="1" applyAlignment="1">
      <alignment horizontal="center" wrapText="1"/>
      <protection/>
    </xf>
    <xf numFmtId="0" fontId="0" fillId="0" borderId="10" xfId="61" applyFont="1" applyFill="1" applyBorder="1" applyAlignment="1">
      <alignment/>
      <protection/>
    </xf>
    <xf numFmtId="0" fontId="0" fillId="0" borderId="10" xfId="61" applyFont="1" applyFill="1" applyBorder="1" applyAlignment="1" quotePrefix="1">
      <alignment horizontal="centerContinuous" wrapText="1"/>
      <protection/>
    </xf>
    <xf numFmtId="0" fontId="0" fillId="0" borderId="22" xfId="61" applyFont="1" applyFill="1" applyBorder="1" applyAlignment="1">
      <alignment horizontal="centerContinuous" wrapText="1"/>
      <protection/>
    </xf>
    <xf numFmtId="0" fontId="0" fillId="0" borderId="23" xfId="61" applyFont="1" applyFill="1" applyBorder="1" applyAlignment="1">
      <alignment horizontal="centerContinuous"/>
      <protection/>
    </xf>
    <xf numFmtId="0" fontId="0" fillId="0" borderId="18" xfId="61" applyFont="1" applyFill="1" applyBorder="1" applyAlignment="1">
      <alignment horizontal="center" wrapText="1"/>
      <protection/>
    </xf>
    <xf numFmtId="0" fontId="0" fillId="0" borderId="24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Continuous" wrapText="1"/>
      <protection/>
    </xf>
    <xf numFmtId="0" fontId="0" fillId="0" borderId="0" xfId="61" applyFont="1" applyFill="1" applyBorder="1" applyAlignment="1" quotePrefix="1">
      <alignment horizontal="centerContinuous" wrapText="1"/>
      <protection/>
    </xf>
    <xf numFmtId="0" fontId="0" fillId="0" borderId="24" xfId="61" applyFont="1" applyFill="1" applyBorder="1" applyAlignment="1">
      <alignment horizontal="centerContinuous" wrapText="1"/>
      <protection/>
    </xf>
    <xf numFmtId="0" fontId="0" fillId="0" borderId="25" xfId="61" applyFont="1" applyFill="1" applyBorder="1" applyAlignment="1">
      <alignment horizontal="centerContinuous"/>
      <protection/>
    </xf>
    <xf numFmtId="0" fontId="3" fillId="0" borderId="1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right"/>
      <protection/>
    </xf>
    <xf numFmtId="0" fontId="0" fillId="0" borderId="25" xfId="61" applyFont="1" applyFill="1" applyBorder="1" applyAlignment="1">
      <alignment horizontal="center"/>
      <protection/>
    </xf>
    <xf numFmtId="0" fontId="0" fillId="0" borderId="19" xfId="61" applyFont="1" applyFill="1" applyBorder="1" applyAlignment="1">
      <alignment horizontal="right"/>
      <protection/>
    </xf>
    <xf numFmtId="0" fontId="0" fillId="0" borderId="26" xfId="61" applyFont="1" applyFill="1" applyBorder="1" applyAlignment="1">
      <alignment horizontal="center"/>
      <protection/>
    </xf>
    <xf numFmtId="0" fontId="0" fillId="0" borderId="13" xfId="61" applyFont="1" applyFill="1" applyBorder="1">
      <alignment/>
      <protection/>
    </xf>
    <xf numFmtId="0" fontId="13" fillId="0" borderId="0" xfId="61" applyFont="1" applyFill="1" applyBorder="1">
      <alignment/>
      <protection/>
    </xf>
    <xf numFmtId="0" fontId="13" fillId="0" borderId="24" xfId="61" applyFont="1" applyFill="1" applyBorder="1" applyAlignment="1">
      <alignment horizontal="center"/>
      <protection/>
    </xf>
    <xf numFmtId="0" fontId="13" fillId="0" borderId="24" xfId="61" applyFont="1" applyFill="1" applyBorder="1">
      <alignment/>
      <protection/>
    </xf>
    <xf numFmtId="0" fontId="13" fillId="0" borderId="25" xfId="61" applyFont="1" applyFill="1" applyBorder="1" applyAlignment="1">
      <alignment horizontal="center"/>
      <protection/>
    </xf>
    <xf numFmtId="0" fontId="13" fillId="0" borderId="0" xfId="61" applyFont="1" applyFill="1" applyBorder="1" applyAlignment="1">
      <alignment horizontal="center"/>
      <protection/>
    </xf>
    <xf numFmtId="0" fontId="10" fillId="0" borderId="13" xfId="61" applyFont="1" applyFill="1" applyBorder="1" applyAlignment="1">
      <alignment horizontal="center"/>
      <protection/>
    </xf>
    <xf numFmtId="0" fontId="13" fillId="0" borderId="24" xfId="61" applyFont="1" applyFill="1" applyBorder="1" applyAlignment="1" quotePrefix="1">
      <alignment horizontal="center"/>
      <protection/>
    </xf>
    <xf numFmtId="171" fontId="13" fillId="0" borderId="0" xfId="61" applyNumberFormat="1" applyFont="1" applyFill="1" applyBorder="1" applyAlignment="1">
      <alignment horizontal="center"/>
      <protection/>
    </xf>
    <xf numFmtId="5" fontId="13" fillId="0" borderId="24" xfId="61" applyNumberFormat="1" applyFont="1" applyFill="1" applyBorder="1">
      <alignment/>
      <protection/>
    </xf>
    <xf numFmtId="172" fontId="13" fillId="0" borderId="25" xfId="61" applyNumberFormat="1" applyFont="1" applyFill="1" applyBorder="1" applyAlignment="1">
      <alignment horizontal="center"/>
      <protection/>
    </xf>
    <xf numFmtId="5" fontId="13" fillId="0" borderId="13" xfId="61" applyNumberFormat="1" applyFont="1" applyFill="1" applyBorder="1">
      <alignment/>
      <protection/>
    </xf>
    <xf numFmtId="37" fontId="13" fillId="0" borderId="24" xfId="61" applyNumberFormat="1" applyFont="1" applyFill="1" applyBorder="1">
      <alignment/>
      <protection/>
    </xf>
    <xf numFmtId="3" fontId="13" fillId="0" borderId="0" xfId="61" applyNumberFormat="1" applyFont="1" applyFill="1" applyBorder="1">
      <alignment/>
      <protection/>
    </xf>
    <xf numFmtId="37" fontId="13" fillId="0" borderId="13" xfId="61" applyNumberFormat="1" applyFont="1" applyFill="1" applyBorder="1">
      <alignment/>
      <protection/>
    </xf>
    <xf numFmtId="166" fontId="13" fillId="0" borderId="0" xfId="61" applyNumberFormat="1" applyFont="1" applyFill="1" applyBorder="1">
      <alignment/>
      <protection/>
    </xf>
    <xf numFmtId="3" fontId="13" fillId="0" borderId="25" xfId="61" applyNumberFormat="1" applyFont="1" applyFill="1" applyBorder="1" applyAlignment="1">
      <alignment horizontal="center"/>
      <protection/>
    </xf>
    <xf numFmtId="3" fontId="13" fillId="0" borderId="24" xfId="61" applyNumberFormat="1" applyFont="1" applyFill="1" applyBorder="1">
      <alignment/>
      <protection/>
    </xf>
    <xf numFmtId="0" fontId="13" fillId="0" borderId="27" xfId="61" applyFont="1" applyFill="1" applyBorder="1" applyAlignment="1">
      <alignment horizontal="center"/>
      <protection/>
    </xf>
    <xf numFmtId="0" fontId="13" fillId="0" borderId="15" xfId="61" applyFont="1" applyFill="1" applyBorder="1">
      <alignment/>
      <protection/>
    </xf>
    <xf numFmtId="167" fontId="13" fillId="0" borderId="15" xfId="61" applyNumberFormat="1" applyFont="1" applyFill="1" applyBorder="1">
      <alignment/>
      <protection/>
    </xf>
    <xf numFmtId="10" fontId="13" fillId="0" borderId="15" xfId="61" applyNumberFormat="1" applyFont="1" applyFill="1" applyBorder="1" applyAlignment="1">
      <alignment horizontal="center"/>
      <protection/>
    </xf>
    <xf numFmtId="167" fontId="13" fillId="0" borderId="27" xfId="61" applyNumberFormat="1" applyFont="1" applyFill="1" applyBorder="1">
      <alignment/>
      <protection/>
    </xf>
    <xf numFmtId="10" fontId="13" fillId="0" borderId="28" xfId="61" applyNumberFormat="1" applyFont="1" applyFill="1" applyBorder="1" applyAlignment="1">
      <alignment horizontal="center"/>
      <protection/>
    </xf>
    <xf numFmtId="5" fontId="13" fillId="0" borderId="29" xfId="49" applyNumberFormat="1" applyFont="1" applyFill="1" applyBorder="1" applyAlignment="1">
      <alignment/>
    </xf>
    <xf numFmtId="224" fontId="0" fillId="0" borderId="0" xfId="61" applyNumberFormat="1" applyFont="1" applyFill="1" applyBorder="1">
      <alignment/>
      <protection/>
    </xf>
    <xf numFmtId="3" fontId="0" fillId="0" borderId="0" xfId="61" applyNumberFormat="1" applyFont="1" applyFill="1" applyBorder="1">
      <alignment/>
      <protection/>
    </xf>
    <xf numFmtId="3" fontId="0" fillId="0" borderId="0" xfId="61" applyNumberFormat="1" applyFont="1" applyFill="1" applyBorder="1" applyAlignment="1">
      <alignment horizontal="center"/>
      <protection/>
    </xf>
    <xf numFmtId="5" fontId="0" fillId="0" borderId="0" xfId="61" applyNumberFormat="1" applyFont="1" applyFill="1" applyBorder="1">
      <alignment/>
      <protection/>
    </xf>
    <xf numFmtId="167" fontId="0" fillId="0" borderId="0" xfId="61" applyNumberFormat="1" applyFont="1" applyFill="1" applyBorder="1">
      <alignment/>
      <protection/>
    </xf>
    <xf numFmtId="37" fontId="81" fillId="0" borderId="0" xfId="0" applyNumberFormat="1" applyFont="1" applyFill="1" applyAlignment="1">
      <alignment/>
    </xf>
    <xf numFmtId="37" fontId="80" fillId="0" borderId="0" xfId="0" applyNumberFormat="1" applyFont="1" applyFill="1" applyAlignment="1">
      <alignment/>
    </xf>
    <xf numFmtId="37" fontId="82" fillId="0" borderId="0" xfId="63" applyNumberFormat="1" applyFont="1" applyFill="1" applyBorder="1" applyAlignment="1">
      <alignment horizontal="center" vertical="center"/>
      <protection/>
    </xf>
    <xf numFmtId="37" fontId="0" fillId="0" borderId="0" xfId="61" applyNumberFormat="1" applyFont="1">
      <alignment/>
      <protection/>
    </xf>
    <xf numFmtId="5" fontId="0" fillId="0" borderId="0" xfId="61" applyNumberFormat="1" applyFont="1">
      <alignment/>
      <protection/>
    </xf>
    <xf numFmtId="37" fontId="13" fillId="0" borderId="0" xfId="61" applyNumberFormat="1" applyFont="1" applyFill="1" applyAlignment="1">
      <alignment vertical="top"/>
      <protection/>
    </xf>
    <xf numFmtId="6" fontId="13" fillId="0" borderId="0" xfId="0" applyNumberFormat="1" applyFont="1" applyFill="1" applyBorder="1" applyAlignment="1">
      <alignment/>
    </xf>
    <xf numFmtId="5" fontId="6" fillId="0" borderId="0" xfId="0" applyNumberFormat="1" applyFont="1" applyFill="1" applyBorder="1" applyAlignment="1">
      <alignment/>
    </xf>
    <xf numFmtId="175" fontId="6" fillId="0" borderId="0" xfId="42" applyNumberFormat="1" applyFont="1" applyBorder="1" applyAlignment="1">
      <alignment/>
    </xf>
    <xf numFmtId="175" fontId="6" fillId="0" borderId="15" xfId="42" applyNumberFormat="1" applyFont="1" applyBorder="1" applyAlignment="1">
      <alignment/>
    </xf>
    <xf numFmtId="37" fontId="0" fillId="0" borderId="0" xfId="0" applyNumberFormat="1" applyFont="1" applyFill="1" applyAlignment="1">
      <alignment horizontal="left" vertical="top" wrapText="1"/>
    </xf>
    <xf numFmtId="209" fontId="13" fillId="0" borderId="12" xfId="0" applyNumberFormat="1" applyFont="1" applyFill="1" applyBorder="1" applyAlignment="1">
      <alignment/>
    </xf>
    <xf numFmtId="209" fontId="13" fillId="0" borderId="0" xfId="0" applyNumberFormat="1" applyFont="1" applyFill="1" applyBorder="1" applyAlignment="1">
      <alignment/>
    </xf>
    <xf numFmtId="209" fontId="79" fillId="0" borderId="0" xfId="0" applyNumberFormat="1" applyFont="1" applyFill="1" applyBorder="1" applyAlignment="1">
      <alignment/>
    </xf>
    <xf numFmtId="209" fontId="13" fillId="0" borderId="11" xfId="0" applyNumberFormat="1" applyFont="1" applyFill="1" applyBorder="1" applyAlignment="1">
      <alignment/>
    </xf>
    <xf numFmtId="37" fontId="82" fillId="0" borderId="0" xfId="0" applyNumberFormat="1" applyFont="1" applyFill="1" applyAlignment="1">
      <alignment/>
    </xf>
    <xf numFmtId="37" fontId="83" fillId="0" borderId="0" xfId="0" applyNumberFormat="1" applyFont="1" applyFill="1" applyAlignment="1">
      <alignment/>
    </xf>
    <xf numFmtId="0" fontId="0" fillId="0" borderId="0" xfId="0" applyAlignment="1">
      <alignment horizontal="center" wrapText="1"/>
    </xf>
    <xf numFmtId="5" fontId="13" fillId="0" borderId="0" xfId="0" applyNumberFormat="1" applyFont="1" applyAlignment="1">
      <alignment/>
    </xf>
    <xf numFmtId="37" fontId="13" fillId="0" borderId="0" xfId="0" applyNumberFormat="1" applyFont="1" applyAlignment="1">
      <alignment/>
    </xf>
    <xf numFmtId="175" fontId="0" fillId="0" borderId="0" xfId="42" applyNumberFormat="1" applyFont="1" applyFill="1" applyBorder="1" applyAlignment="1">
      <alignment/>
    </xf>
    <xf numFmtId="5" fontId="13" fillId="0" borderId="0" xfId="0" applyNumberFormat="1" applyFont="1" applyAlignment="1">
      <alignment/>
    </xf>
    <xf numFmtId="37" fontId="24" fillId="0" borderId="0" xfId="0" applyNumberFormat="1" applyFont="1" applyFill="1" applyBorder="1" applyAlignment="1" quotePrefix="1">
      <alignment horizontal="center" wrapText="1"/>
    </xf>
    <xf numFmtId="6" fontId="13" fillId="0" borderId="12" xfId="0" applyNumberFormat="1" applyFont="1" applyFill="1" applyBorder="1" applyAlignment="1">
      <alignment/>
    </xf>
    <xf numFmtId="6" fontId="13" fillId="0" borderId="11" xfId="0" applyNumberFormat="1" applyFont="1" applyFill="1" applyBorder="1" applyAlignment="1">
      <alignment/>
    </xf>
    <xf numFmtId="37" fontId="34" fillId="0" borderId="0" xfId="0" applyNumberFormat="1" applyFont="1" applyFill="1" applyBorder="1" applyAlignment="1">
      <alignment horizontal="left" wrapText="1"/>
    </xf>
    <xf numFmtId="37" fontId="31" fillId="0" borderId="0" xfId="0" applyNumberFormat="1" applyFont="1" applyFill="1" applyBorder="1" applyAlignment="1">
      <alignment horizontal="left"/>
    </xf>
    <xf numFmtId="37" fontId="83" fillId="0" borderId="0" xfId="0" applyNumberFormat="1" applyFont="1" applyFill="1" applyBorder="1" applyAlignment="1">
      <alignment/>
    </xf>
    <xf numFmtId="37" fontId="35" fillId="0" borderId="0" xfId="0" applyNumberFormat="1" applyFont="1" applyFill="1" applyBorder="1" applyAlignment="1">
      <alignment horizontal="left"/>
    </xf>
    <xf numFmtId="37" fontId="9" fillId="0" borderId="0" xfId="0" applyNumberFormat="1" applyFont="1" applyFill="1" applyBorder="1" applyAlignment="1">
      <alignment horizontal="left"/>
    </xf>
    <xf numFmtId="37" fontId="0" fillId="0" borderId="0" xfId="0" applyNumberForma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left" vertical="top"/>
    </xf>
    <xf numFmtId="37" fontId="79" fillId="0" borderId="0" xfId="0" applyNumberFormat="1" applyFont="1" applyFill="1" applyBorder="1" applyAlignment="1">
      <alignment/>
    </xf>
    <xf numFmtId="167" fontId="79" fillId="0" borderId="24" xfId="64" applyNumberFormat="1" applyFont="1" applyBorder="1">
      <alignment/>
      <protection/>
    </xf>
    <xf numFmtId="171" fontId="13" fillId="0" borderId="25" xfId="61" applyNumberFormat="1" applyFont="1" applyFill="1" applyBorder="1" applyAlignment="1">
      <alignment horizontal="center"/>
      <protection/>
    </xf>
    <xf numFmtId="37" fontId="79" fillId="0" borderId="24" xfId="64" applyNumberFormat="1" applyFont="1" applyBorder="1">
      <alignment/>
      <protection/>
    </xf>
    <xf numFmtId="37" fontId="79" fillId="33" borderId="24" xfId="64" applyNumberFormat="1" applyFont="1" applyFill="1" applyBorder="1">
      <alignment/>
      <protection/>
    </xf>
    <xf numFmtId="167" fontId="79" fillId="33" borderId="24" xfId="65" applyNumberFormat="1" applyFont="1" applyFill="1" applyBorder="1">
      <alignment/>
      <protection/>
    </xf>
    <xf numFmtId="37" fontId="79" fillId="33" borderId="24" xfId="65" applyNumberFormat="1" applyFont="1" applyFill="1" applyBorder="1">
      <alignment/>
      <protection/>
    </xf>
    <xf numFmtId="37" fontId="36" fillId="0" borderId="0" xfId="0" applyNumberFormat="1" applyFont="1" applyFill="1" applyAlignment="1">
      <alignment horizontal="center" wrapText="1"/>
    </xf>
    <xf numFmtId="37" fontId="36" fillId="0" borderId="0" xfId="0" applyNumberFormat="1" applyFont="1" applyFill="1" applyAlignment="1">
      <alignment horizontal="center"/>
    </xf>
    <xf numFmtId="5" fontId="6" fillId="0" borderId="0" xfId="0" applyNumberFormat="1" applyFont="1" applyFill="1" applyAlignment="1">
      <alignment/>
    </xf>
    <xf numFmtId="37" fontId="12" fillId="0" borderId="0" xfId="0" applyNumberFormat="1" applyFont="1" applyFill="1" applyAlignment="1">
      <alignment horizontal="center" vertical="center"/>
    </xf>
    <xf numFmtId="37" fontId="19" fillId="0" borderId="0" xfId="0" applyNumberFormat="1" applyFont="1" applyFill="1" applyAlignment="1">
      <alignment horizontal="center" wrapText="1"/>
    </xf>
    <xf numFmtId="37" fontId="19" fillId="0" borderId="0" xfId="0" applyNumberFormat="1" applyFont="1" applyFill="1" applyAlignment="1">
      <alignment horizontal="center"/>
    </xf>
    <xf numFmtId="37" fontId="13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 wrapText="1"/>
    </xf>
    <xf numFmtId="37" fontId="37" fillId="0" borderId="0" xfId="0" applyNumberFormat="1" applyFont="1" applyFill="1" applyBorder="1" applyAlignment="1">
      <alignment horizontal="left" wrapText="1"/>
    </xf>
    <xf numFmtId="37" fontId="18" fillId="0" borderId="0" xfId="0" applyNumberFormat="1" applyFont="1" applyFill="1" applyAlignment="1">
      <alignment horizontal="center" wrapText="1"/>
    </xf>
    <xf numFmtId="37" fontId="0" fillId="0" borderId="0" xfId="0" applyNumberFormat="1" applyFont="1" applyFill="1" applyAlignment="1">
      <alignment vertical="top"/>
    </xf>
    <xf numFmtId="37" fontId="8" fillId="0" borderId="0" xfId="0" applyNumberFormat="1" applyFont="1" applyFill="1" applyBorder="1" applyAlignment="1">
      <alignment horizontal="center" wrapText="1"/>
    </xf>
    <xf numFmtId="37" fontId="22" fillId="0" borderId="0" xfId="0" applyNumberFormat="1" applyFont="1" applyFill="1" applyBorder="1" applyAlignment="1">
      <alignment horizontal="center" wrapText="1"/>
    </xf>
    <xf numFmtId="167" fontId="79" fillId="0" borderId="0" xfId="0" applyNumberFormat="1" applyFont="1" applyAlignment="1">
      <alignment/>
    </xf>
    <xf numFmtId="37" fontId="79" fillId="0" borderId="0" xfId="0" applyNumberFormat="1" applyFont="1" applyAlignment="1">
      <alignment/>
    </xf>
    <xf numFmtId="37" fontId="0" fillId="0" borderId="0" xfId="61" applyNumberFormat="1" applyFill="1">
      <alignment/>
      <protection/>
    </xf>
    <xf numFmtId="37" fontId="15" fillId="0" borderId="0" xfId="61" applyNumberFormat="1" applyFont="1" applyFill="1">
      <alignment/>
      <protection/>
    </xf>
    <xf numFmtId="37" fontId="0" fillId="0" borderId="0" xfId="61" applyNumberFormat="1" applyFill="1" applyBorder="1" applyAlignment="1">
      <alignment/>
      <protection/>
    </xf>
    <xf numFmtId="0" fontId="0" fillId="0" borderId="0" xfId="61">
      <alignment/>
      <protection/>
    </xf>
    <xf numFmtId="37" fontId="84" fillId="0" borderId="0" xfId="61" applyNumberFormat="1" applyFont="1" applyFill="1">
      <alignment/>
      <protection/>
    </xf>
    <xf numFmtId="37" fontId="12" fillId="0" borderId="0" xfId="61" applyNumberFormat="1" applyFont="1" applyFill="1">
      <alignment/>
      <protection/>
    </xf>
    <xf numFmtId="37" fontId="6" fillId="0" borderId="0" xfId="61" applyNumberFormat="1" applyFont="1" applyFill="1">
      <alignment/>
      <protection/>
    </xf>
    <xf numFmtId="37" fontId="6" fillId="0" borderId="0" xfId="61" applyNumberFormat="1" applyFont="1" applyFill="1" applyBorder="1" applyAlignment="1">
      <alignment horizontal="center"/>
      <protection/>
    </xf>
    <xf numFmtId="37" fontId="0" fillId="0" borderId="0" xfId="61" applyNumberFormat="1" applyFill="1" applyAlignment="1">
      <alignment horizontal="center" wrapText="1"/>
      <protection/>
    </xf>
    <xf numFmtId="37" fontId="0" fillId="0" borderId="0" xfId="61" applyNumberFormat="1" applyFill="1" applyBorder="1" applyAlignment="1">
      <alignment horizontal="center" wrapText="1"/>
      <protection/>
    </xf>
    <xf numFmtId="37" fontId="8" fillId="0" borderId="0" xfId="61" applyNumberFormat="1" applyFont="1" applyFill="1" applyBorder="1" applyAlignment="1">
      <alignment horizontal="left" wrapText="1"/>
      <protection/>
    </xf>
    <xf numFmtId="37" fontId="9" fillId="0" borderId="0" xfId="61" applyNumberFormat="1" applyFont="1" applyFill="1" applyBorder="1" applyAlignment="1">
      <alignment horizontal="center" wrapText="1"/>
      <protection/>
    </xf>
    <xf numFmtId="37" fontId="9" fillId="0" borderId="0" xfId="61" applyNumberFormat="1" applyFont="1" applyFill="1">
      <alignment/>
      <protection/>
    </xf>
    <xf numFmtId="37" fontId="9" fillId="0" borderId="0" xfId="61" applyNumberFormat="1" applyFont="1" applyFill="1" applyBorder="1">
      <alignment/>
      <protection/>
    </xf>
    <xf numFmtId="37" fontId="14" fillId="0" borderId="0" xfId="61" applyNumberFormat="1" applyFont="1" applyFill="1" applyBorder="1" applyAlignment="1">
      <alignment horizontal="center" wrapText="1"/>
      <protection/>
    </xf>
    <xf numFmtId="37" fontId="0" fillId="0" borderId="0" xfId="61" applyNumberFormat="1" applyFill="1" applyAlignment="1">
      <alignment/>
      <protection/>
    </xf>
    <xf numFmtId="37" fontId="9" fillId="0" borderId="0" xfId="61" applyNumberFormat="1" applyFont="1" applyFill="1" applyBorder="1" applyAlignment="1">
      <alignment/>
      <protection/>
    </xf>
    <xf numFmtId="5" fontId="13" fillId="0" borderId="0" xfId="61" applyNumberFormat="1" applyFont="1" applyFill="1">
      <alignment/>
      <protection/>
    </xf>
    <xf numFmtId="5" fontId="13" fillId="0" borderId="0" xfId="61" applyNumberFormat="1" applyFont="1" applyFill="1" applyBorder="1" applyAlignment="1">
      <alignment/>
      <protection/>
    </xf>
    <xf numFmtId="37" fontId="13" fillId="0" borderId="0" xfId="61" applyNumberFormat="1" applyFont="1" applyFill="1" applyBorder="1" applyAlignment="1">
      <alignment/>
      <protection/>
    </xf>
    <xf numFmtId="37" fontId="13" fillId="0" borderId="0" xfId="61" applyNumberFormat="1" applyFont="1" applyFill="1">
      <alignment/>
      <protection/>
    </xf>
    <xf numFmtId="0" fontId="13" fillId="0" borderId="0" xfId="61" applyFont="1">
      <alignment/>
      <protection/>
    </xf>
    <xf numFmtId="209" fontId="13" fillId="0" borderId="0" xfId="61" applyNumberFormat="1" applyFont="1" applyFill="1" applyBorder="1" applyAlignment="1">
      <alignment/>
      <protection/>
    </xf>
    <xf numFmtId="5" fontId="13" fillId="0" borderId="11" xfId="61" applyNumberFormat="1" applyFont="1" applyFill="1" applyBorder="1">
      <alignment/>
      <protection/>
    </xf>
    <xf numFmtId="5" fontId="13" fillId="0" borderId="11" xfId="61" applyNumberFormat="1" applyFont="1" applyFill="1" applyBorder="1" applyAlignment="1">
      <alignment/>
      <protection/>
    </xf>
    <xf numFmtId="209" fontId="79" fillId="0" borderId="0" xfId="61" applyNumberFormat="1" applyFont="1" applyFill="1" applyBorder="1" applyAlignment="1">
      <alignment/>
      <protection/>
    </xf>
    <xf numFmtId="5" fontId="13" fillId="0" borderId="12" xfId="61" applyNumberFormat="1" applyFont="1" applyFill="1" applyBorder="1">
      <alignment/>
      <protection/>
    </xf>
    <xf numFmtId="5" fontId="13" fillId="0" borderId="12" xfId="61" applyNumberFormat="1" applyFont="1" applyFill="1" applyBorder="1" applyAlignment="1">
      <alignment/>
      <protection/>
    </xf>
    <xf numFmtId="37" fontId="0" fillId="0" borderId="0" xfId="61" applyNumberFormat="1" applyFont="1" applyFill="1" applyBorder="1" applyAlignment="1">
      <alignment horizontal="right" indent="1"/>
      <protection/>
    </xf>
    <xf numFmtId="37" fontId="8" fillId="0" borderId="0" xfId="61" applyNumberFormat="1" applyFont="1" applyFill="1" applyBorder="1" applyAlignment="1">
      <alignment horizontal="right" vertical="top" wrapText="1"/>
      <protection/>
    </xf>
    <xf numFmtId="37" fontId="0" fillId="0" borderId="0" xfId="61" applyNumberFormat="1" applyFont="1" applyFill="1" applyAlignment="1">
      <alignment horizontal="left" vertical="top" wrapText="1"/>
      <protection/>
    </xf>
    <xf numFmtId="37" fontId="0" fillId="0" borderId="0" xfId="61" applyNumberFormat="1" applyFont="1" applyFill="1" applyBorder="1" applyAlignment="1">
      <alignment horizontal="left" vertical="top"/>
      <protection/>
    </xf>
    <xf numFmtId="37" fontId="0" fillId="0" borderId="0" xfId="61" applyNumberFormat="1" applyFont="1" applyFill="1" applyAlignment="1">
      <alignment vertical="top"/>
      <protection/>
    </xf>
    <xf numFmtId="0" fontId="0" fillId="0" borderId="0" xfId="61" applyFill="1">
      <alignment/>
      <protection/>
    </xf>
    <xf numFmtId="37" fontId="3" fillId="0" borderId="30" xfId="0" applyNumberFormat="1" applyFont="1" applyFill="1" applyBorder="1" applyAlignment="1">
      <alignment horizontal="center" vertical="center"/>
    </xf>
    <xf numFmtId="37" fontId="79" fillId="0" borderId="0" xfId="0" applyNumberFormat="1" applyFont="1" applyFill="1" applyAlignment="1">
      <alignment horizontal="left" wrapText="1"/>
    </xf>
    <xf numFmtId="37" fontId="3" fillId="0" borderId="11" xfId="0" applyNumberFormat="1" applyFont="1" applyFill="1" applyBorder="1" applyAlignment="1">
      <alignment horizontal="center"/>
    </xf>
    <xf numFmtId="37" fontId="85" fillId="0" borderId="0" xfId="0" applyNumberFormat="1" applyFont="1" applyFill="1" applyBorder="1" applyAlignment="1">
      <alignment horizontal="center" wrapText="1"/>
    </xf>
    <xf numFmtId="37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37" fontId="0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37" fontId="7" fillId="0" borderId="0" xfId="0" applyNumberFormat="1" applyFont="1" applyFill="1" applyAlignment="1">
      <alignment horizontal="center" wrapText="1"/>
    </xf>
    <xf numFmtId="37" fontId="22" fillId="0" borderId="10" xfId="0" applyNumberFormat="1" applyFont="1" applyFill="1" applyBorder="1" applyAlignment="1">
      <alignment horizontal="center"/>
    </xf>
    <xf numFmtId="37" fontId="22" fillId="0" borderId="31" xfId="0" applyNumberFormat="1" applyFont="1" applyFill="1" applyBorder="1" applyAlignment="1">
      <alignment horizontal="center"/>
    </xf>
    <xf numFmtId="37" fontId="17" fillId="0" borderId="0" xfId="0" applyNumberFormat="1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3" fillId="0" borderId="32" xfId="61" applyFont="1" applyFill="1" applyBorder="1" applyAlignment="1" quotePrefix="1">
      <alignment horizontal="center"/>
      <protection/>
    </xf>
    <xf numFmtId="0" fontId="3" fillId="0" borderId="11" xfId="61" applyFont="1" applyFill="1" applyBorder="1" applyAlignment="1" quotePrefix="1">
      <alignment horizontal="center"/>
      <protection/>
    </xf>
    <xf numFmtId="0" fontId="3" fillId="0" borderId="16" xfId="61" applyFont="1" applyFill="1" applyBorder="1" applyAlignment="1" quotePrefix="1">
      <alignment horizontal="center"/>
      <protection/>
    </xf>
    <xf numFmtId="0" fontId="0" fillId="0" borderId="22" xfId="61" applyFont="1" applyFill="1" applyBorder="1" applyAlignment="1">
      <alignment horizontal="center" wrapText="1"/>
      <protection/>
    </xf>
    <xf numFmtId="0" fontId="0" fillId="0" borderId="23" xfId="61" applyFont="1" applyFill="1" applyBorder="1" applyAlignment="1">
      <alignment horizontal="center" wrapText="1"/>
      <protection/>
    </xf>
    <xf numFmtId="0" fontId="0" fillId="0" borderId="10" xfId="61" applyFont="1" applyFill="1" applyBorder="1" applyAlignment="1">
      <alignment horizontal="center" wrapText="1"/>
      <protection/>
    </xf>
    <xf numFmtId="0" fontId="0" fillId="0" borderId="24" xfId="61" applyFont="1" applyFill="1" applyBorder="1" applyAlignment="1">
      <alignment horizontal="center" wrapText="1"/>
      <protection/>
    </xf>
    <xf numFmtId="0" fontId="0" fillId="0" borderId="25" xfId="61" applyFont="1" applyFill="1" applyBorder="1" applyAlignment="1">
      <alignment horizontal="center" wrapText="1"/>
      <protection/>
    </xf>
    <xf numFmtId="168" fontId="0" fillId="0" borderId="30" xfId="61" applyNumberFormat="1" applyFont="1" applyFill="1" applyBorder="1" applyAlignment="1" quotePrefix="1">
      <alignment horizontal="center" wrapText="1"/>
      <protection/>
    </xf>
    <xf numFmtId="168" fontId="0" fillId="0" borderId="33" xfId="61" applyNumberFormat="1" applyFont="1" applyFill="1" applyBorder="1" applyAlignment="1" quotePrefix="1">
      <alignment horizontal="center" wrapText="1"/>
      <protection/>
    </xf>
    <xf numFmtId="37" fontId="0" fillId="0" borderId="0" xfId="61" applyNumberFormat="1" applyFont="1" applyFill="1" applyAlignment="1">
      <alignment horizontal="left" vertical="top" wrapText="1"/>
      <protection/>
    </xf>
    <xf numFmtId="37" fontId="0" fillId="0" borderId="0" xfId="61" applyNumberFormat="1" applyFont="1" applyFill="1" applyAlignment="1">
      <alignment vertical="top" wrapText="1"/>
      <protection/>
    </xf>
    <xf numFmtId="0" fontId="0" fillId="0" borderId="0" xfId="61" applyFont="1" applyFill="1" applyAlignment="1">
      <alignment vertical="top" wrapText="1"/>
      <protection/>
    </xf>
    <xf numFmtId="0" fontId="0" fillId="0" borderId="0" xfId="61" applyFont="1" applyAlignment="1">
      <alignment horizontal="left" vertical="top" wrapText="1"/>
      <protection/>
    </xf>
    <xf numFmtId="37" fontId="5" fillId="0" borderId="15" xfId="63" applyNumberFormat="1" applyFont="1" applyFill="1" applyBorder="1" applyAlignment="1">
      <alignment horizontal="center" vertical="center"/>
      <protection/>
    </xf>
    <xf numFmtId="0" fontId="6" fillId="0" borderId="0" xfId="63" applyNumberFormat="1" applyFont="1" applyAlignment="1">
      <alignment wrapText="1"/>
      <protection/>
    </xf>
    <xf numFmtId="0" fontId="26" fillId="0" borderId="0" xfId="63" applyAlignment="1">
      <alignment wrapText="1"/>
      <protection/>
    </xf>
    <xf numFmtId="0" fontId="6" fillId="0" borderId="0" xfId="63" applyFont="1" applyAlignment="1">
      <alignment horizontal="left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110" zoomScaleNormal="110" zoomScalePageLayoutView="0" workbookViewId="0" topLeftCell="A1">
      <pane xSplit="2" ySplit="6" topLeftCell="G1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32" sqref="P32"/>
    </sheetView>
  </sheetViews>
  <sheetFormatPr defaultColWidth="9.33203125" defaultRowHeight="12.75"/>
  <cols>
    <col min="1" max="1" width="2.33203125" style="2" customWidth="1"/>
    <col min="2" max="2" width="22.33203125" style="2" bestFit="1" customWidth="1"/>
    <col min="3" max="4" width="14.83203125" style="2" customWidth="1"/>
    <col min="5" max="5" width="15" style="2" bestFit="1" customWidth="1"/>
    <col min="6" max="6" width="14.66015625" style="2" customWidth="1"/>
    <col min="7" max="7" width="4.83203125" style="11" customWidth="1"/>
    <col min="8" max="8" width="17.16015625" style="2" customWidth="1"/>
    <col min="9" max="10" width="1.83203125" style="2" customWidth="1"/>
    <col min="11" max="11" width="15" style="2" bestFit="1" customWidth="1"/>
    <col min="12" max="12" width="4.83203125" style="11" customWidth="1"/>
    <col min="13" max="13" width="18.5" style="2" customWidth="1"/>
    <col min="14" max="14" width="14.83203125" style="2" customWidth="1"/>
    <col min="15" max="15" width="13.66015625" style="2" customWidth="1"/>
    <col min="16" max="16" width="15" style="2" bestFit="1" customWidth="1"/>
    <col min="17" max="16384" width="9.33203125" style="2" customWidth="1"/>
  </cols>
  <sheetData>
    <row r="1" spans="2:15" ht="18" customHeight="1">
      <c r="B1" s="150" t="s">
        <v>153</v>
      </c>
      <c r="O1" s="153" t="s">
        <v>186</v>
      </c>
    </row>
    <row r="2" ht="9" customHeight="1">
      <c r="B2" s="254"/>
    </row>
    <row r="3" spans="2:15" s="100" customFormat="1" ht="18" customHeight="1" thickBot="1">
      <c r="B3" s="99"/>
      <c r="C3" s="4">
        <v>-1</v>
      </c>
      <c r="D3" s="4">
        <v>-2</v>
      </c>
      <c r="E3" s="4">
        <v>-3</v>
      </c>
      <c r="F3" s="4">
        <v>-4</v>
      </c>
      <c r="G3" s="141"/>
      <c r="H3" s="4">
        <v>-5</v>
      </c>
      <c r="I3" s="4"/>
      <c r="J3" s="4"/>
      <c r="K3" s="4">
        <v>-6</v>
      </c>
      <c r="L3" s="7"/>
      <c r="M3" s="4">
        <v>-7</v>
      </c>
      <c r="N3" s="4">
        <v>-8</v>
      </c>
      <c r="O3" s="4">
        <v>-9</v>
      </c>
    </row>
    <row r="4" spans="3:16" s="5" customFormat="1" ht="18" customHeight="1">
      <c r="C4" s="327" t="s">
        <v>101</v>
      </c>
      <c r="D4" s="327"/>
      <c r="E4" s="327"/>
      <c r="F4" s="327"/>
      <c r="G4" s="142"/>
      <c r="H4" s="327" t="s">
        <v>102</v>
      </c>
      <c r="I4" s="327"/>
      <c r="J4" s="327"/>
      <c r="K4" s="327"/>
      <c r="L4" s="142"/>
      <c r="M4" s="327" t="s">
        <v>152</v>
      </c>
      <c r="N4" s="327"/>
      <c r="O4" s="327"/>
      <c r="P4" s="327"/>
    </row>
    <row r="5" spans="3:16" s="5" customFormat="1" ht="12.75">
      <c r="C5" s="7"/>
      <c r="D5" s="7"/>
      <c r="E5" s="7"/>
      <c r="F5" s="7"/>
      <c r="G5" s="142"/>
      <c r="H5" s="329" t="s">
        <v>40</v>
      </c>
      <c r="I5" s="329"/>
      <c r="J5" s="32"/>
      <c r="K5" s="75" t="s">
        <v>41</v>
      </c>
      <c r="L5" s="142"/>
      <c r="M5" s="7"/>
      <c r="N5" s="7"/>
      <c r="O5" s="7"/>
      <c r="P5" s="7"/>
    </row>
    <row r="6" spans="2:16" s="19" customFormat="1" ht="57" customHeight="1" thickBot="1">
      <c r="B6" s="17"/>
      <c r="C6" s="73" t="s">
        <v>189</v>
      </c>
      <c r="D6" s="17" t="s">
        <v>32</v>
      </c>
      <c r="E6" s="18" t="s">
        <v>34</v>
      </c>
      <c r="F6" s="17" t="s">
        <v>29</v>
      </c>
      <c r="G6" s="55"/>
      <c r="H6" s="73" t="s">
        <v>135</v>
      </c>
      <c r="I6" s="73"/>
      <c r="J6" s="73"/>
      <c r="K6" s="74" t="s">
        <v>49</v>
      </c>
      <c r="L6" s="55"/>
      <c r="M6" s="73" t="s">
        <v>187</v>
      </c>
      <c r="N6" s="17" t="s">
        <v>33</v>
      </c>
      <c r="O6" s="17" t="s">
        <v>35</v>
      </c>
      <c r="P6" s="17" t="s">
        <v>103</v>
      </c>
    </row>
    <row r="7" spans="2:16" s="8" customFormat="1" ht="22.5">
      <c r="B7" s="20"/>
      <c r="C7" s="20"/>
      <c r="D7" s="20"/>
      <c r="E7" s="20"/>
      <c r="F7" s="21" t="s">
        <v>31</v>
      </c>
      <c r="G7" s="20"/>
      <c r="H7" s="22" t="s">
        <v>119</v>
      </c>
      <c r="I7" s="22"/>
      <c r="J7" s="22"/>
      <c r="K7" s="22" t="s">
        <v>174</v>
      </c>
      <c r="L7" s="20"/>
      <c r="M7" s="23" t="s">
        <v>166</v>
      </c>
      <c r="N7" s="24" t="s">
        <v>167</v>
      </c>
      <c r="O7" s="161" t="s">
        <v>148</v>
      </c>
      <c r="P7" s="21" t="s">
        <v>168</v>
      </c>
    </row>
    <row r="8" ht="7.5" customHeight="1"/>
    <row r="9" spans="2:16" s="10" customFormat="1" ht="12.75">
      <c r="B9" s="12" t="s">
        <v>0</v>
      </c>
      <c r="C9" s="38">
        <v>61239052</v>
      </c>
      <c r="D9" s="243">
        <v>22754000</v>
      </c>
      <c r="E9" s="13">
        <v>2918000</v>
      </c>
      <c r="F9" s="10">
        <f>SUM(C9:E9)</f>
        <v>86911052</v>
      </c>
      <c r="G9" s="12"/>
      <c r="H9" s="10">
        <f>'(B) Base Budget Adjustments'!Z8</f>
        <v>-936030</v>
      </c>
      <c r="K9" s="10">
        <f>'(D) SUF revenue-SUG-FTES'!P7</f>
        <v>2435000</v>
      </c>
      <c r="L9" s="12"/>
      <c r="M9" s="10">
        <f>C9+H9</f>
        <v>60303022</v>
      </c>
      <c r="N9" s="10">
        <f aca="true" t="shared" si="0" ref="N9:N31">D9+K9</f>
        <v>25189000</v>
      </c>
      <c r="O9" s="10">
        <f>E9</f>
        <v>2918000</v>
      </c>
      <c r="P9" s="10">
        <f>SUM(M9:O9)</f>
        <v>88410022</v>
      </c>
    </row>
    <row r="10" spans="2:16" ht="12.75">
      <c r="B10" s="11" t="s">
        <v>1</v>
      </c>
      <c r="C10" s="36">
        <v>43032603</v>
      </c>
      <c r="D10" s="242">
        <v>9796000</v>
      </c>
      <c r="E10" s="14">
        <v>1143000</v>
      </c>
      <c r="F10" s="2">
        <f>SUM(C10:E10)</f>
        <v>53971603</v>
      </c>
      <c r="H10" s="2">
        <f>'(B) Base Budget Adjustments'!Z9</f>
        <v>-350450</v>
      </c>
      <c r="K10" s="2">
        <f>'(D) SUF revenue-SUG-FTES'!P8</f>
        <v>891000</v>
      </c>
      <c r="M10" s="2">
        <f>C10+H10</f>
        <v>42682153</v>
      </c>
      <c r="N10" s="2">
        <f t="shared" si="0"/>
        <v>10687000</v>
      </c>
      <c r="O10" s="2">
        <f>E10</f>
        <v>1143000</v>
      </c>
      <c r="P10" s="2">
        <f>SUM(M10:O10)</f>
        <v>54512153</v>
      </c>
    </row>
    <row r="11" spans="2:16" ht="12.75">
      <c r="B11" s="11" t="s">
        <v>2</v>
      </c>
      <c r="C11" s="36">
        <v>119890742</v>
      </c>
      <c r="D11" s="242">
        <v>46662000</v>
      </c>
      <c r="E11" s="14">
        <v>8039000</v>
      </c>
      <c r="F11" s="2">
        <f aca="true" t="shared" si="1" ref="F11:F31">SUM(C11:E11)</f>
        <v>174591742</v>
      </c>
      <c r="H11" s="2">
        <f>'(B) Base Budget Adjustments'!Z10</f>
        <v>-3696940</v>
      </c>
      <c r="K11" s="2">
        <f>'(D) SUF revenue-SUG-FTES'!P9</f>
        <v>4032000</v>
      </c>
      <c r="M11" s="2">
        <f aca="true" t="shared" si="2" ref="M11:M31">C11+H11</f>
        <v>116193802</v>
      </c>
      <c r="N11" s="2">
        <f t="shared" si="0"/>
        <v>50694000</v>
      </c>
      <c r="O11" s="2">
        <f aca="true" t="shared" si="3" ref="O11:O31">E11</f>
        <v>8039000</v>
      </c>
      <c r="P11" s="2">
        <f aca="true" t="shared" si="4" ref="P11:P31">SUM(M11:O11)</f>
        <v>174926802</v>
      </c>
    </row>
    <row r="12" spans="2:16" ht="12.75">
      <c r="B12" s="11" t="s">
        <v>3</v>
      </c>
      <c r="C12" s="36">
        <v>71927143</v>
      </c>
      <c r="D12" s="242">
        <v>34570000</v>
      </c>
      <c r="E12" s="14">
        <v>3038000</v>
      </c>
      <c r="F12" s="2">
        <f t="shared" si="1"/>
        <v>109535143</v>
      </c>
      <c r="H12" s="2">
        <f>'(B) Base Budget Adjustments'!Z11</f>
        <v>1138339</v>
      </c>
      <c r="K12" s="2">
        <f>'(D) SUF revenue-SUG-FTES'!P10</f>
        <v>3749000</v>
      </c>
      <c r="M12" s="2">
        <f t="shared" si="2"/>
        <v>73065482</v>
      </c>
      <c r="N12" s="2">
        <f t="shared" si="0"/>
        <v>38319000</v>
      </c>
      <c r="O12" s="2">
        <f t="shared" si="3"/>
        <v>3038000</v>
      </c>
      <c r="P12" s="2">
        <f t="shared" si="4"/>
        <v>114422482</v>
      </c>
    </row>
    <row r="13" spans="2:16" ht="12.75">
      <c r="B13" s="11" t="s">
        <v>30</v>
      </c>
      <c r="C13" s="36">
        <v>89778621</v>
      </c>
      <c r="D13" s="242">
        <v>45066000</v>
      </c>
      <c r="E13" s="14">
        <v>11650000</v>
      </c>
      <c r="F13" s="2">
        <f t="shared" si="1"/>
        <v>146494621</v>
      </c>
      <c r="H13" s="2">
        <f>'(B) Base Budget Adjustments'!Z12</f>
        <v>-2238300</v>
      </c>
      <c r="K13" s="2">
        <f>'(D) SUF revenue-SUG-FTES'!P11</f>
        <v>4872000</v>
      </c>
      <c r="M13" s="2">
        <f t="shared" si="2"/>
        <v>87540321</v>
      </c>
      <c r="N13" s="2">
        <f t="shared" si="0"/>
        <v>49938000</v>
      </c>
      <c r="O13" s="2">
        <f t="shared" si="3"/>
        <v>11650000</v>
      </c>
      <c r="P13" s="2">
        <f t="shared" si="4"/>
        <v>149128321</v>
      </c>
    </row>
    <row r="14" spans="2:16" ht="12.75">
      <c r="B14" s="11" t="s">
        <v>4</v>
      </c>
      <c r="C14" s="36">
        <v>153592512</v>
      </c>
      <c r="D14" s="242">
        <v>63154000</v>
      </c>
      <c r="E14" s="14">
        <v>10680000</v>
      </c>
      <c r="F14" s="2">
        <f t="shared" si="1"/>
        <v>227426512</v>
      </c>
      <c r="H14" s="2">
        <f>'(B) Base Budget Adjustments'!Z13</f>
        <v>-3330510</v>
      </c>
      <c r="K14" s="2">
        <f>'(D) SUF revenue-SUG-FTES'!P12</f>
        <v>7194000</v>
      </c>
      <c r="M14" s="2">
        <f t="shared" si="2"/>
        <v>150262002</v>
      </c>
      <c r="N14" s="2">
        <f t="shared" si="0"/>
        <v>70348000</v>
      </c>
      <c r="O14" s="2">
        <f t="shared" si="3"/>
        <v>10680000</v>
      </c>
      <c r="P14" s="2">
        <f t="shared" si="4"/>
        <v>231290002</v>
      </c>
    </row>
    <row r="15" spans="2:16" ht="12.75">
      <c r="B15" s="11" t="s">
        <v>5</v>
      </c>
      <c r="C15" s="36">
        <v>179775337</v>
      </c>
      <c r="D15" s="242">
        <v>106834000</v>
      </c>
      <c r="E15" s="14">
        <f>21029000</f>
        <v>21029000</v>
      </c>
      <c r="F15" s="2">
        <f t="shared" si="1"/>
        <v>307638337</v>
      </c>
      <c r="H15" s="2">
        <f>'(B) Base Budget Adjustments'!Z14</f>
        <v>-3927900</v>
      </c>
      <c r="K15" s="2">
        <f>'(D) SUF revenue-SUG-FTES'!P13</f>
        <v>9792000</v>
      </c>
      <c r="M15" s="2">
        <f t="shared" si="2"/>
        <v>175847437</v>
      </c>
      <c r="N15" s="2">
        <f t="shared" si="0"/>
        <v>116626000</v>
      </c>
      <c r="O15" s="2">
        <f t="shared" si="3"/>
        <v>21029000</v>
      </c>
      <c r="P15" s="2">
        <f t="shared" si="4"/>
        <v>313502437</v>
      </c>
    </row>
    <row r="16" spans="2:16" ht="12.75">
      <c r="B16" s="11" t="s">
        <v>6</v>
      </c>
      <c r="C16" s="36">
        <v>76210440</v>
      </c>
      <c r="D16" s="242">
        <v>21704000</v>
      </c>
      <c r="E16" s="14">
        <v>5036000</v>
      </c>
      <c r="F16" s="2">
        <f t="shared" si="1"/>
        <v>102950440</v>
      </c>
      <c r="H16" s="2">
        <f>'(B) Base Budget Adjustments'!Z15</f>
        <v>-2114530</v>
      </c>
      <c r="K16" s="2">
        <f>'(D) SUF revenue-SUG-FTES'!P14</f>
        <v>2537000</v>
      </c>
      <c r="M16" s="2">
        <f t="shared" si="2"/>
        <v>74095910</v>
      </c>
      <c r="N16" s="2">
        <f t="shared" si="0"/>
        <v>24241000</v>
      </c>
      <c r="O16" s="2">
        <f t="shared" si="3"/>
        <v>5036000</v>
      </c>
      <c r="P16" s="2">
        <f t="shared" si="4"/>
        <v>103372910</v>
      </c>
    </row>
    <row r="17" spans="2:16" ht="12.75">
      <c r="B17" s="11" t="s">
        <v>7</v>
      </c>
      <c r="C17" s="36">
        <v>204868758</v>
      </c>
      <c r="D17" s="242">
        <v>110978000</v>
      </c>
      <c r="E17" s="14">
        <f>23363000+1000</f>
        <v>23364000</v>
      </c>
      <c r="F17" s="2">
        <f t="shared" si="1"/>
        <v>339210758</v>
      </c>
      <c r="H17" s="2">
        <f>'(B) Base Budget Adjustments'!Z16</f>
        <v>-6325080</v>
      </c>
      <c r="K17" s="2">
        <f>'(D) SUF revenue-SUG-FTES'!P15</f>
        <v>10776000</v>
      </c>
      <c r="M17" s="2">
        <f t="shared" si="2"/>
        <v>198543678</v>
      </c>
      <c r="N17" s="2">
        <f t="shared" si="0"/>
        <v>121754000</v>
      </c>
      <c r="O17" s="2">
        <f t="shared" si="3"/>
        <v>23364000</v>
      </c>
      <c r="P17" s="2">
        <f t="shared" si="4"/>
        <v>343661678</v>
      </c>
    </row>
    <row r="18" spans="2:16" ht="12.75">
      <c r="B18" s="11" t="s">
        <v>8</v>
      </c>
      <c r="C18" s="36">
        <v>133080149</v>
      </c>
      <c r="D18" s="242">
        <v>65520000</v>
      </c>
      <c r="E18" s="14">
        <v>10477000</v>
      </c>
      <c r="F18" s="2">
        <f t="shared" si="1"/>
        <v>209077149</v>
      </c>
      <c r="H18" s="2">
        <f>'(B) Base Budget Adjustments'!Z17</f>
        <v>-2025670</v>
      </c>
      <c r="K18" s="2">
        <f>'(D) SUF revenue-SUG-FTES'!P16</f>
        <v>7622000</v>
      </c>
      <c r="M18" s="2">
        <f t="shared" si="2"/>
        <v>131054479</v>
      </c>
      <c r="N18" s="2">
        <f t="shared" si="0"/>
        <v>73142000</v>
      </c>
      <c r="O18" s="2">
        <f t="shared" si="3"/>
        <v>10477000</v>
      </c>
      <c r="P18" s="2">
        <f t="shared" si="4"/>
        <v>214673479</v>
      </c>
    </row>
    <row r="19" spans="2:16" ht="12.75">
      <c r="B19" s="11" t="s">
        <v>9</v>
      </c>
      <c r="C19" s="36">
        <v>19018281</v>
      </c>
      <c r="D19" s="242">
        <v>2234000</v>
      </c>
      <c r="E19" s="14">
        <v>3284000</v>
      </c>
      <c r="F19" s="2">
        <f t="shared" si="1"/>
        <v>24536281</v>
      </c>
      <c r="H19" s="2">
        <f>'(B) Base Budget Adjustments'!Z18</f>
        <v>-519270</v>
      </c>
      <c r="K19" s="2">
        <f>'(D) SUF revenue-SUG-FTES'!P17</f>
        <v>97000</v>
      </c>
      <c r="M19" s="2">
        <f t="shared" si="2"/>
        <v>18499011</v>
      </c>
      <c r="N19" s="2">
        <f t="shared" si="0"/>
        <v>2331000</v>
      </c>
      <c r="O19" s="2">
        <f t="shared" si="3"/>
        <v>3284000</v>
      </c>
      <c r="P19" s="2">
        <f t="shared" si="4"/>
        <v>24114011</v>
      </c>
    </row>
    <row r="20" spans="2:16" ht="12.75">
      <c r="B20" s="11" t="s">
        <v>10</v>
      </c>
      <c r="C20" s="36">
        <v>53009703</v>
      </c>
      <c r="D20" s="242">
        <v>11095000</v>
      </c>
      <c r="E20" s="14">
        <v>1926000</v>
      </c>
      <c r="F20" s="2">
        <f t="shared" si="1"/>
        <v>66030703</v>
      </c>
      <c r="H20" s="2">
        <f>'(B) Base Budget Adjustments'!Z19</f>
        <v>-967800</v>
      </c>
      <c r="K20" s="2">
        <f>'(D) SUF revenue-SUG-FTES'!P18</f>
        <v>1069000</v>
      </c>
      <c r="M20" s="2">
        <f t="shared" si="2"/>
        <v>52041903</v>
      </c>
      <c r="N20" s="2">
        <f t="shared" si="0"/>
        <v>12164000</v>
      </c>
      <c r="O20" s="2">
        <f t="shared" si="3"/>
        <v>1926000</v>
      </c>
      <c r="P20" s="2">
        <f t="shared" si="4"/>
        <v>66131903</v>
      </c>
    </row>
    <row r="21" spans="2:16" ht="12.75">
      <c r="B21" s="11" t="s">
        <v>11</v>
      </c>
      <c r="C21" s="36">
        <v>194191936</v>
      </c>
      <c r="D21" s="242">
        <v>103110000</v>
      </c>
      <c r="E21" s="14">
        <f>22525000+1000</f>
        <v>22526000</v>
      </c>
      <c r="F21" s="2">
        <f t="shared" si="1"/>
        <v>319827936</v>
      </c>
      <c r="H21" s="2">
        <f>'(B) Base Budget Adjustments'!Z20</f>
        <v>-3594820</v>
      </c>
      <c r="K21" s="2">
        <f>'(D) SUF revenue-SUG-FTES'!P19</f>
        <v>10746000</v>
      </c>
      <c r="M21" s="2">
        <f t="shared" si="2"/>
        <v>190597116</v>
      </c>
      <c r="N21" s="2">
        <f t="shared" si="0"/>
        <v>113856000</v>
      </c>
      <c r="O21" s="2">
        <f t="shared" si="3"/>
        <v>22526000</v>
      </c>
      <c r="P21" s="2">
        <f t="shared" si="4"/>
        <v>326979116</v>
      </c>
    </row>
    <row r="22" spans="2:16" ht="12.75">
      <c r="B22" s="11" t="s">
        <v>12</v>
      </c>
      <c r="C22" s="36">
        <v>145896192</v>
      </c>
      <c r="D22" s="242">
        <v>62823000</v>
      </c>
      <c r="E22" s="14">
        <v>9929000</v>
      </c>
      <c r="F22" s="2">
        <f t="shared" si="1"/>
        <v>218648192</v>
      </c>
      <c r="H22" s="2">
        <f>'(B) Base Budget Adjustments'!Z21</f>
        <v>-4408370</v>
      </c>
      <c r="K22" s="2">
        <f>'(D) SUF revenue-SUG-FTES'!P20</f>
        <v>7825000</v>
      </c>
      <c r="M22" s="2">
        <f t="shared" si="2"/>
        <v>141487822</v>
      </c>
      <c r="N22" s="2">
        <f t="shared" si="0"/>
        <v>70648000</v>
      </c>
      <c r="O22" s="2">
        <f t="shared" si="3"/>
        <v>9929000</v>
      </c>
      <c r="P22" s="2">
        <f t="shared" si="4"/>
        <v>222064822</v>
      </c>
    </row>
    <row r="23" spans="2:16" ht="12.75">
      <c r="B23" s="11" t="s">
        <v>13</v>
      </c>
      <c r="C23" s="36">
        <v>165622497</v>
      </c>
      <c r="D23" s="242">
        <v>78138000</v>
      </c>
      <c r="E23" s="14">
        <v>12051000</v>
      </c>
      <c r="F23" s="2">
        <f t="shared" si="1"/>
        <v>255811497</v>
      </c>
      <c r="H23" s="2">
        <f>'(B) Base Budget Adjustments'!Z22</f>
        <v>-4190580</v>
      </c>
      <c r="K23" s="2">
        <f>'(D) SUF revenue-SUG-FTES'!P21</f>
        <v>8756000</v>
      </c>
      <c r="M23" s="2">
        <f t="shared" si="2"/>
        <v>161431917</v>
      </c>
      <c r="N23" s="2">
        <f t="shared" si="0"/>
        <v>86894000</v>
      </c>
      <c r="O23" s="2">
        <f t="shared" si="3"/>
        <v>12051000</v>
      </c>
      <c r="P23" s="2">
        <f t="shared" si="4"/>
        <v>260376917</v>
      </c>
    </row>
    <row r="24" spans="2:16" ht="12.75">
      <c r="B24" s="11" t="s">
        <v>14</v>
      </c>
      <c r="C24" s="36">
        <v>106451088</v>
      </c>
      <c r="D24" s="242">
        <v>53000000</v>
      </c>
      <c r="E24" s="14">
        <v>8487000</v>
      </c>
      <c r="F24" s="2">
        <f t="shared" si="1"/>
        <v>167938088</v>
      </c>
      <c r="H24" s="2">
        <f>'(B) Base Budget Adjustments'!Z23</f>
        <v>-1511130</v>
      </c>
      <c r="K24" s="2">
        <f>'(D) SUF revenue-SUG-FTES'!P22</f>
        <v>5647000</v>
      </c>
      <c r="M24" s="2">
        <f t="shared" si="2"/>
        <v>104939958</v>
      </c>
      <c r="N24" s="2">
        <f t="shared" si="0"/>
        <v>58647000</v>
      </c>
      <c r="O24" s="2">
        <f t="shared" si="3"/>
        <v>8487000</v>
      </c>
      <c r="P24" s="2">
        <f t="shared" si="4"/>
        <v>172073958</v>
      </c>
    </row>
    <row r="25" spans="2:16" ht="12.75">
      <c r="B25" s="11" t="s">
        <v>15</v>
      </c>
      <c r="C25" s="36">
        <v>221267746</v>
      </c>
      <c r="D25" s="242">
        <v>100413000</v>
      </c>
      <c r="E25" s="14">
        <v>26259000</v>
      </c>
      <c r="F25" s="2">
        <f t="shared" si="1"/>
        <v>347939746</v>
      </c>
      <c r="H25" s="2">
        <f>'(B) Base Budget Adjustments'!Z24</f>
        <v>-6437730</v>
      </c>
      <c r="K25" s="2">
        <f>'(D) SUF revenue-SUG-FTES'!P23</f>
        <v>13764000</v>
      </c>
      <c r="M25" s="2">
        <f t="shared" si="2"/>
        <v>214830016</v>
      </c>
      <c r="N25" s="2">
        <f t="shared" si="0"/>
        <v>114177000</v>
      </c>
      <c r="O25" s="2">
        <f t="shared" si="3"/>
        <v>26259000</v>
      </c>
      <c r="P25" s="2">
        <f t="shared" si="4"/>
        <v>355266016</v>
      </c>
    </row>
    <row r="26" spans="2:16" ht="12.75">
      <c r="B26" s="11" t="s">
        <v>16</v>
      </c>
      <c r="C26" s="36">
        <v>170761449</v>
      </c>
      <c r="D26" s="242">
        <v>90400000</v>
      </c>
      <c r="E26" s="14">
        <v>29652000</v>
      </c>
      <c r="F26" s="2">
        <f t="shared" si="1"/>
        <v>290813449</v>
      </c>
      <c r="H26" s="2">
        <f>'(B) Base Budget Adjustments'!Z25</f>
        <v>-5230200</v>
      </c>
      <c r="K26" s="2">
        <f>'(D) SUF revenue-SUG-FTES'!P24</f>
        <v>9200000</v>
      </c>
      <c r="M26" s="2">
        <f t="shared" si="2"/>
        <v>165531249</v>
      </c>
      <c r="N26" s="2">
        <f t="shared" si="0"/>
        <v>99600000</v>
      </c>
      <c r="O26" s="2">
        <f t="shared" si="3"/>
        <v>29652000</v>
      </c>
      <c r="P26" s="2">
        <f t="shared" si="4"/>
        <v>294783249</v>
      </c>
    </row>
    <row r="27" spans="2:16" ht="12.75">
      <c r="B27" s="11" t="s">
        <v>17</v>
      </c>
      <c r="C27" s="36">
        <v>167277822</v>
      </c>
      <c r="D27" s="242">
        <v>89805000</v>
      </c>
      <c r="E27" s="14">
        <v>21450000</v>
      </c>
      <c r="F27" s="2">
        <f t="shared" si="1"/>
        <v>278532822</v>
      </c>
      <c r="H27" s="2">
        <f>'(B) Base Budget Adjustments'!Z26</f>
        <v>-4048550</v>
      </c>
      <c r="K27" s="2">
        <f>'(D) SUF revenue-SUG-FTES'!P25</f>
        <v>9765000</v>
      </c>
      <c r="M27" s="2">
        <f t="shared" si="2"/>
        <v>163229272</v>
      </c>
      <c r="N27" s="2">
        <f t="shared" si="0"/>
        <v>99570000</v>
      </c>
      <c r="O27" s="2">
        <f t="shared" si="3"/>
        <v>21450000</v>
      </c>
      <c r="P27" s="2">
        <f t="shared" si="4"/>
        <v>284249272</v>
      </c>
    </row>
    <row r="28" spans="2:16" ht="12.75">
      <c r="B28" s="11" t="s">
        <v>18</v>
      </c>
      <c r="C28" s="36">
        <v>148796428</v>
      </c>
      <c r="D28" s="242">
        <v>56511000</v>
      </c>
      <c r="E28" s="14">
        <f>26653000-1000</f>
        <v>26652000</v>
      </c>
      <c r="F28" s="2">
        <f t="shared" si="1"/>
        <v>231959428</v>
      </c>
      <c r="H28" s="2">
        <f>'(B) Base Budget Adjustments'!Z27</f>
        <v>-4916440</v>
      </c>
      <c r="K28" s="2">
        <f>'(D) SUF revenue-SUG-FTES'!P26</f>
        <v>6341000</v>
      </c>
      <c r="M28" s="2">
        <f t="shared" si="2"/>
        <v>143879988</v>
      </c>
      <c r="N28" s="2">
        <f t="shared" si="0"/>
        <v>62852000</v>
      </c>
      <c r="O28" s="2">
        <f t="shared" si="3"/>
        <v>26652000</v>
      </c>
      <c r="P28" s="2">
        <f t="shared" si="4"/>
        <v>233383988</v>
      </c>
    </row>
    <row r="29" spans="2:16" ht="12.75">
      <c r="B29" s="11" t="s">
        <v>19</v>
      </c>
      <c r="C29" s="36">
        <v>67185822</v>
      </c>
      <c r="D29" s="242">
        <v>25695000</v>
      </c>
      <c r="E29" s="14">
        <v>4264000</v>
      </c>
      <c r="F29" s="2">
        <f t="shared" si="1"/>
        <v>97144822</v>
      </c>
      <c r="H29" s="2">
        <f>'(B) Base Budget Adjustments'!Z28</f>
        <v>-1676180</v>
      </c>
      <c r="K29" s="2">
        <f>'(D) SUF revenue-SUG-FTES'!P27</f>
        <v>2570000</v>
      </c>
      <c r="M29" s="2">
        <f t="shared" si="2"/>
        <v>65509642</v>
      </c>
      <c r="N29" s="2">
        <f t="shared" si="0"/>
        <v>28265000</v>
      </c>
      <c r="O29" s="2">
        <f t="shared" si="3"/>
        <v>4264000</v>
      </c>
      <c r="P29" s="2">
        <f t="shared" si="4"/>
        <v>98038642</v>
      </c>
    </row>
    <row r="30" spans="2:16" ht="12.75">
      <c r="B30" s="11" t="s">
        <v>20</v>
      </c>
      <c r="C30" s="36">
        <v>63925273</v>
      </c>
      <c r="D30" s="242">
        <v>24315000</v>
      </c>
      <c r="E30" s="14">
        <v>3625000</v>
      </c>
      <c r="F30" s="2">
        <f t="shared" si="1"/>
        <v>91865273</v>
      </c>
      <c r="H30" s="2">
        <f>'(B) Base Budget Adjustments'!Z29</f>
        <v>-1076200</v>
      </c>
      <c r="K30" s="2">
        <f>'(D) SUF revenue-SUG-FTES'!P28</f>
        <v>2458000</v>
      </c>
      <c r="M30" s="2">
        <f t="shared" si="2"/>
        <v>62849073</v>
      </c>
      <c r="N30" s="2">
        <f t="shared" si="0"/>
        <v>26773000</v>
      </c>
      <c r="O30" s="2">
        <f>E30</f>
        <v>3625000</v>
      </c>
      <c r="P30" s="2">
        <f>SUM(M30:O30)</f>
        <v>93247073</v>
      </c>
    </row>
    <row r="31" spans="2:16" ht="12.75">
      <c r="B31" s="11" t="s">
        <v>21</v>
      </c>
      <c r="C31" s="36">
        <v>63303857</v>
      </c>
      <c r="D31" s="242">
        <v>24879000</v>
      </c>
      <c r="E31" s="14">
        <v>4042000</v>
      </c>
      <c r="F31" s="2">
        <f t="shared" si="1"/>
        <v>92224857</v>
      </c>
      <c r="H31" s="2">
        <f>'(B) Base Budget Adjustments'!Z30</f>
        <v>-1411320</v>
      </c>
      <c r="K31" s="2">
        <f>'(D) SUF revenue-SUG-FTES'!P29</f>
        <v>2382000</v>
      </c>
      <c r="M31" s="2">
        <f t="shared" si="2"/>
        <v>61892537</v>
      </c>
      <c r="N31" s="2">
        <f t="shared" si="0"/>
        <v>27261000</v>
      </c>
      <c r="O31" s="2">
        <f t="shared" si="3"/>
        <v>4042000</v>
      </c>
      <c r="P31" s="2">
        <f t="shared" si="4"/>
        <v>93195537</v>
      </c>
    </row>
    <row r="32" ht="9" customHeight="1"/>
    <row r="33" spans="2:16" s="10" customFormat="1" ht="18" customHeight="1">
      <c r="B33" s="15" t="s">
        <v>22</v>
      </c>
      <c r="C33" s="15">
        <f>SUM(C9:C32)</f>
        <v>2720103451</v>
      </c>
      <c r="D33" s="15">
        <f>SUM(D9:D32)</f>
        <v>1249456000</v>
      </c>
      <c r="E33" s="15">
        <f>SUM(E9:E31)</f>
        <v>271521000</v>
      </c>
      <c r="F33" s="15">
        <f>SUM(F9:F32)</f>
        <v>4241080451</v>
      </c>
      <c r="G33" s="12"/>
      <c r="H33" s="15">
        <f>SUM(H9:H32)</f>
        <v>-63795661</v>
      </c>
      <c r="I33" s="15"/>
      <c r="J33" s="15"/>
      <c r="K33" s="15">
        <f>SUM(K9:K32)</f>
        <v>134520000</v>
      </c>
      <c r="L33" s="12"/>
      <c r="M33" s="15">
        <f>SUM(M9:M32)</f>
        <v>2656307790</v>
      </c>
      <c r="N33" s="15">
        <f>SUM(N9:N32)</f>
        <v>1383976000</v>
      </c>
      <c r="O33" s="15">
        <f>SUM(O9:O32)</f>
        <v>271521000</v>
      </c>
      <c r="P33" s="15">
        <f>SUM(P9:P32)</f>
        <v>4311804790</v>
      </c>
    </row>
    <row r="34" ht="9" customHeight="1"/>
    <row r="35" spans="2:16" ht="12.75">
      <c r="B35" s="2" t="s">
        <v>23</v>
      </c>
      <c r="C35" s="2">
        <v>75136554</v>
      </c>
      <c r="E35" s="2">
        <v>0</v>
      </c>
      <c r="F35" s="2">
        <f>SUM(C35:E35)</f>
        <v>75136554</v>
      </c>
      <c r="H35" s="2">
        <f>'(B) Base Budget Adjustments'!Z34</f>
        <v>-1757690</v>
      </c>
      <c r="K35" s="2">
        <f>'(D) SUF revenue-SUG-FTES'!P33</f>
        <v>0</v>
      </c>
      <c r="M35" s="2">
        <f>C35+H35</f>
        <v>73378864</v>
      </c>
      <c r="N35" s="2">
        <f>D35+K35</f>
        <v>0</v>
      </c>
      <c r="O35" s="2">
        <f>E35</f>
        <v>0</v>
      </c>
      <c r="P35" s="2">
        <f>SUM(M35:O35)</f>
        <v>73378864</v>
      </c>
    </row>
    <row r="36" spans="2:16" ht="12.75">
      <c r="B36" s="14" t="s">
        <v>38</v>
      </c>
      <c r="C36" s="2">
        <v>1531735</v>
      </c>
      <c r="E36" s="2">
        <v>0</v>
      </c>
      <c r="F36" s="2">
        <f>SUM(C36:E36)</f>
        <v>1531735</v>
      </c>
      <c r="H36" s="2">
        <f>'(B) Base Budget Adjustments'!Z35</f>
        <v>-108000</v>
      </c>
      <c r="K36" s="240">
        <f>'(D) SUF revenue-SUG-FTES'!P34</f>
        <v>341000</v>
      </c>
      <c r="M36" s="2">
        <f>C36+H36</f>
        <v>1423735</v>
      </c>
      <c r="N36" s="2">
        <f>D36+K36</f>
        <v>341000</v>
      </c>
      <c r="O36" s="2">
        <f>E36</f>
        <v>0</v>
      </c>
      <c r="P36" s="2">
        <f>SUM(M36:O36)</f>
        <v>1764735</v>
      </c>
    </row>
    <row r="37" spans="2:16" ht="12.75">
      <c r="B37" s="2" t="s">
        <v>24</v>
      </c>
      <c r="C37" s="2">
        <v>2660496</v>
      </c>
      <c r="D37" s="25">
        <v>1864000</v>
      </c>
      <c r="E37" s="2">
        <v>0</v>
      </c>
      <c r="F37" s="2">
        <f>SUM(C37:E37)</f>
        <v>4524496</v>
      </c>
      <c r="H37" s="2">
        <f>'(B) Base Budget Adjustments'!Z36</f>
        <v>-60000</v>
      </c>
      <c r="K37" s="240">
        <f>'(D) SUF revenue-SUG-FTES'!P35</f>
        <v>88000</v>
      </c>
      <c r="M37" s="2">
        <f>C37+H37</f>
        <v>2600496</v>
      </c>
      <c r="N37" s="2">
        <f>D37+K37</f>
        <v>1952000</v>
      </c>
      <c r="O37" s="2">
        <f>E37</f>
        <v>0</v>
      </c>
      <c r="P37" s="2">
        <f>SUM(M37:O37)</f>
        <v>4552496</v>
      </c>
    </row>
    <row r="38" spans="2:16" ht="12.75">
      <c r="B38" s="2" t="s">
        <v>25</v>
      </c>
      <c r="C38" s="2">
        <v>106800</v>
      </c>
      <c r="E38" s="2">
        <v>0</v>
      </c>
      <c r="F38" s="2">
        <f>SUM(C38:E38)</f>
        <v>106800</v>
      </c>
      <c r="H38" s="2">
        <f>'(B) Base Budget Adjustments'!Z37</f>
        <v>-8000</v>
      </c>
      <c r="K38" s="240">
        <f>'(D) SUF revenue-SUG-FTES'!P36</f>
        <v>-40000</v>
      </c>
      <c r="M38" s="2">
        <f>C38+H38</f>
        <v>98800</v>
      </c>
      <c r="N38" s="2">
        <f>D38+K38</f>
        <v>-40000</v>
      </c>
      <c r="O38" s="2">
        <f>E38</f>
        <v>0</v>
      </c>
      <c r="P38" s="2">
        <f>SUM(M38:O38)</f>
        <v>58800</v>
      </c>
    </row>
    <row r="39" spans="2:16" ht="18">
      <c r="B39" s="2" t="s">
        <v>26</v>
      </c>
      <c r="C39" s="2">
        <v>171166964</v>
      </c>
      <c r="E39" s="2">
        <f>4573000</f>
        <v>4573000</v>
      </c>
      <c r="F39" s="2">
        <f>SUM(C39:E39)</f>
        <v>175739964</v>
      </c>
      <c r="H39" s="2">
        <f>'(B) Base Budget Adjustments'!Z38</f>
        <v>53649000</v>
      </c>
      <c r="J39" s="39"/>
      <c r="K39" s="2">
        <f>'(D) SUF revenue-SUG-FTES'!P37</f>
        <v>0</v>
      </c>
      <c r="L39" s="239"/>
      <c r="M39" s="2">
        <f>C39+H39</f>
        <v>224815964</v>
      </c>
      <c r="N39" s="2">
        <f>D39+K39</f>
        <v>0</v>
      </c>
      <c r="O39" s="240">
        <f>2126000</f>
        <v>2126000</v>
      </c>
      <c r="P39" s="2">
        <f>SUM(M39:O39)</f>
        <v>226941964</v>
      </c>
    </row>
    <row r="40" ht="9" customHeight="1"/>
    <row r="41" spans="2:16" s="10" customFormat="1" ht="18" customHeight="1" thickBot="1">
      <c r="B41" s="16" t="s">
        <v>27</v>
      </c>
      <c r="C41" s="16">
        <f>SUM(C33:C39)</f>
        <v>2970706000</v>
      </c>
      <c r="D41" s="16">
        <f>SUM(D33:D39)</f>
        <v>1251320000</v>
      </c>
      <c r="E41" s="16">
        <f>SUM(E33:E39)</f>
        <v>276094000</v>
      </c>
      <c r="F41" s="16">
        <f>SUM(F33:F39)</f>
        <v>4498120000</v>
      </c>
      <c r="G41" s="12"/>
      <c r="H41" s="26">
        <f>SUM(H33:H39)</f>
        <v>-12080351</v>
      </c>
      <c r="I41" s="26"/>
      <c r="J41" s="26"/>
      <c r="K41" s="26">
        <f>SUM(K33:K39)</f>
        <v>134909000</v>
      </c>
      <c r="L41" s="12"/>
      <c r="M41" s="16">
        <f>SUM(M33:M39)</f>
        <v>2958625649</v>
      </c>
      <c r="N41" s="16">
        <f>SUM(N33:N39)</f>
        <v>1386229000</v>
      </c>
      <c r="O41" s="16">
        <f>SUM(O33:O39)</f>
        <v>273647000</v>
      </c>
      <c r="P41" s="16">
        <f>SUM(P33:P39)</f>
        <v>4618501649</v>
      </c>
    </row>
    <row r="43" spans="1:16" ht="18">
      <c r="A43" s="162">
        <v>1</v>
      </c>
      <c r="B43" s="109" t="s">
        <v>110</v>
      </c>
      <c r="C43" s="43"/>
      <c r="D43" s="43"/>
      <c r="E43" s="43"/>
      <c r="F43" s="43"/>
      <c r="G43" s="163"/>
      <c r="H43" s="164"/>
      <c r="I43" s="164"/>
      <c r="J43" s="164"/>
      <c r="K43" s="164"/>
      <c r="L43" s="163"/>
      <c r="M43" s="43"/>
      <c r="N43" s="43"/>
      <c r="O43" s="43"/>
      <c r="P43" s="43"/>
    </row>
    <row r="44" spans="1:16" ht="18">
      <c r="A44" s="162">
        <v>2</v>
      </c>
      <c r="B44" s="328" t="s">
        <v>188</v>
      </c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</row>
  </sheetData>
  <sheetProtection/>
  <mergeCells count="5">
    <mergeCell ref="C4:F4"/>
    <mergeCell ref="H4:K4"/>
    <mergeCell ref="M4:P4"/>
    <mergeCell ref="B44:P44"/>
    <mergeCell ref="H5:I5"/>
  </mergeCells>
  <printOptions horizontalCentered="1"/>
  <pageMargins left="0.25" right="0.25" top="0.5" bottom="0.25" header="0.5" footer="0.5"/>
  <pageSetup fitToHeight="1" fitToWidth="1"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1" sqref="B41"/>
    </sheetView>
  </sheetViews>
  <sheetFormatPr defaultColWidth="9.33203125" defaultRowHeight="12.75"/>
  <cols>
    <col min="1" max="1" width="2.33203125" style="2" bestFit="1" customWidth="1"/>
    <col min="2" max="2" width="24.5" style="2" customWidth="1"/>
    <col min="3" max="3" width="16.5" style="2" bestFit="1" customWidth="1"/>
    <col min="4" max="4" width="1.83203125" style="2" customWidth="1"/>
    <col min="5" max="5" width="13.33203125" style="28" bestFit="1" customWidth="1"/>
    <col min="6" max="6" width="1.83203125" style="28" customWidth="1"/>
    <col min="7" max="7" width="17.83203125" style="28" customWidth="1"/>
    <col min="8" max="8" width="1.83203125" style="28" customWidth="1"/>
    <col min="9" max="9" width="16.5" style="28" customWidth="1"/>
    <col min="10" max="10" width="2.83203125" style="28" customWidth="1"/>
    <col min="11" max="11" width="16.5" style="28" bestFit="1" customWidth="1"/>
    <col min="12" max="12" width="2.83203125" style="28" customWidth="1"/>
    <col min="13" max="13" width="14.5" style="28" bestFit="1" customWidth="1"/>
    <col min="14" max="14" width="2.83203125" style="28" customWidth="1"/>
    <col min="15" max="15" width="13.66015625" style="28" bestFit="1" customWidth="1"/>
    <col min="16" max="16" width="2.83203125" style="28" customWidth="1"/>
    <col min="17" max="17" width="12.66015625" style="28" bestFit="1" customWidth="1"/>
    <col min="18" max="18" width="2.83203125" style="28" customWidth="1"/>
    <col min="19" max="19" width="12.5" style="28" customWidth="1"/>
    <col min="20" max="20" width="2.83203125" style="28" customWidth="1"/>
    <col min="21" max="21" width="14" style="28" customWidth="1"/>
    <col min="22" max="22" width="2.83203125" style="28" customWidth="1"/>
    <col min="23" max="24" width="14.83203125" style="28" customWidth="1"/>
    <col min="25" max="25" width="2.83203125" style="28" customWidth="1"/>
    <col min="26" max="26" width="17.16015625" style="2" bestFit="1" customWidth="1"/>
    <col min="27" max="27" width="2.83203125" style="2" customWidth="1"/>
    <col min="28" max="28" width="18.16015625" style="2" bestFit="1" customWidth="1"/>
    <col min="29" max="29" width="14.16015625" style="2" bestFit="1" customWidth="1"/>
    <col min="31" max="16384" width="9.33203125" style="2" customWidth="1"/>
  </cols>
  <sheetData>
    <row r="1" spans="2:25" ht="16.5">
      <c r="B1" s="150" t="s">
        <v>154</v>
      </c>
      <c r="C1" s="3"/>
      <c r="D1" s="3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W1" s="330"/>
      <c r="X1" s="330"/>
      <c r="Y1" s="256"/>
    </row>
    <row r="2" spans="2:25" ht="15" customHeight="1">
      <c r="B2" s="255"/>
      <c r="C2" s="3"/>
      <c r="D2" s="3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56"/>
      <c r="W2" s="330"/>
      <c r="X2" s="330"/>
      <c r="Y2" s="256"/>
    </row>
    <row r="3" spans="3:28" s="174" customFormat="1" ht="14.25">
      <c r="C3" s="175">
        <f>-1</f>
        <v>-1</v>
      </c>
      <c r="E3" s="175">
        <v>-2</v>
      </c>
      <c r="F3" s="175"/>
      <c r="G3" s="175">
        <v>-3</v>
      </c>
      <c r="I3" s="175">
        <v>-4</v>
      </c>
      <c r="K3" s="177">
        <f>-5</f>
        <v>-5</v>
      </c>
      <c r="L3" s="177"/>
      <c r="M3" s="175">
        <f>-6</f>
        <v>-6</v>
      </c>
      <c r="N3" s="175"/>
      <c r="O3" s="175">
        <f>-7</f>
        <v>-7</v>
      </c>
      <c r="P3" s="175"/>
      <c r="Q3" s="175">
        <v>-8</v>
      </c>
      <c r="R3" s="175"/>
      <c r="S3" s="175">
        <v>-9</v>
      </c>
      <c r="T3" s="175"/>
      <c r="U3" s="175">
        <v>-10</v>
      </c>
      <c r="V3" s="175"/>
      <c r="W3" s="175">
        <v>-11</v>
      </c>
      <c r="X3" s="175">
        <v>-12</v>
      </c>
      <c r="Y3" s="175"/>
      <c r="Z3" s="176">
        <f>-13</f>
        <v>-13</v>
      </c>
      <c r="AB3" s="177"/>
    </row>
    <row r="4" spans="3:28" s="29" customFormat="1" ht="6" customHeight="1">
      <c r="C4" s="45"/>
      <c r="E4" s="45"/>
      <c r="F4" s="45"/>
      <c r="G4" s="45"/>
      <c r="H4" s="45"/>
      <c r="I4" s="30"/>
      <c r="J4" s="45"/>
      <c r="K4" s="45"/>
      <c r="L4" s="45"/>
      <c r="M4" s="45"/>
      <c r="N4" s="45"/>
      <c r="O4" s="45"/>
      <c r="P4" s="45"/>
      <c r="Q4" s="45"/>
      <c r="R4" s="45"/>
      <c r="S4" s="30"/>
      <c r="T4" s="45"/>
      <c r="U4" s="45"/>
      <c r="V4" s="45"/>
      <c r="W4" s="45"/>
      <c r="X4" s="45"/>
      <c r="Y4" s="45"/>
      <c r="Z4" s="72"/>
      <c r="AB4" s="30"/>
    </row>
    <row r="5" spans="2:28" s="19" customFormat="1" ht="76.5">
      <c r="B5" s="55"/>
      <c r="C5" s="35" t="s">
        <v>190</v>
      </c>
      <c r="D5" s="55"/>
      <c r="E5" s="35" t="s">
        <v>104</v>
      </c>
      <c r="F5" s="55"/>
      <c r="G5" s="56" t="s">
        <v>117</v>
      </c>
      <c r="H5" s="66"/>
      <c r="I5" s="35" t="s">
        <v>146</v>
      </c>
      <c r="J5" s="49">
        <v>1</v>
      </c>
      <c r="K5" s="56" t="s">
        <v>118</v>
      </c>
      <c r="L5" s="66"/>
      <c r="M5" s="66" t="s">
        <v>182</v>
      </c>
      <c r="N5" s="289">
        <v>2</v>
      </c>
      <c r="O5" s="35" t="s">
        <v>177</v>
      </c>
      <c r="P5" s="49">
        <v>3</v>
      </c>
      <c r="Q5" s="35" t="s">
        <v>140</v>
      </c>
      <c r="R5" s="49">
        <v>4</v>
      </c>
      <c r="S5" s="154" t="s">
        <v>39</v>
      </c>
      <c r="T5" s="49">
        <v>5</v>
      </c>
      <c r="U5" s="178" t="s">
        <v>163</v>
      </c>
      <c r="V5" s="49">
        <v>6</v>
      </c>
      <c r="W5" s="66" t="s">
        <v>144</v>
      </c>
      <c r="X5" s="66" t="s">
        <v>145</v>
      </c>
      <c r="Y5" s="66"/>
      <c r="Z5" s="76" t="s">
        <v>28</v>
      </c>
      <c r="AA5" s="55"/>
      <c r="AB5" s="69" t="s">
        <v>131</v>
      </c>
    </row>
    <row r="6" spans="1:28" ht="18" customHeight="1">
      <c r="A6" s="57"/>
      <c r="B6" s="58"/>
      <c r="C6" s="58"/>
      <c r="D6" s="58"/>
      <c r="E6" s="59"/>
      <c r="F6" s="59"/>
      <c r="G6" s="50" t="s">
        <v>112</v>
      </c>
      <c r="H6" s="60"/>
      <c r="I6" s="60"/>
      <c r="J6" s="60"/>
      <c r="K6" s="50" t="s">
        <v>116</v>
      </c>
      <c r="L6" s="60"/>
      <c r="N6" s="77"/>
      <c r="O6" s="335" t="s">
        <v>141</v>
      </c>
      <c r="P6" s="335"/>
      <c r="Q6" s="59"/>
      <c r="R6" s="60"/>
      <c r="S6" s="60"/>
      <c r="T6" s="59"/>
      <c r="U6" s="59"/>
      <c r="V6" s="59"/>
      <c r="W6" s="60" t="s">
        <v>175</v>
      </c>
      <c r="X6" s="60" t="s">
        <v>42</v>
      </c>
      <c r="Y6" s="60"/>
      <c r="Z6" s="50" t="s">
        <v>143</v>
      </c>
      <c r="AA6" s="58"/>
      <c r="AB6" s="50" t="s">
        <v>115</v>
      </c>
    </row>
    <row r="7" spans="1:28" ht="9" customHeight="1">
      <c r="A7" s="57"/>
      <c r="B7" s="58"/>
      <c r="C7" s="58"/>
      <c r="D7" s="58"/>
      <c r="E7" s="59"/>
      <c r="F7" s="59"/>
      <c r="G7" s="50"/>
      <c r="H7" s="60"/>
      <c r="I7" s="60"/>
      <c r="J7" s="60"/>
      <c r="K7" s="50"/>
      <c r="L7" s="60"/>
      <c r="M7" s="59"/>
      <c r="N7" s="52"/>
      <c r="O7" s="79"/>
      <c r="P7" s="60"/>
      <c r="Q7" s="59"/>
      <c r="R7" s="60"/>
      <c r="S7" s="60"/>
      <c r="T7" s="59"/>
      <c r="U7" s="59"/>
      <c r="V7" s="59"/>
      <c r="W7" s="59"/>
      <c r="X7" s="59"/>
      <c r="Y7" s="59"/>
      <c r="Z7" s="61"/>
      <c r="AA7" s="58"/>
      <c r="AB7" s="61"/>
    </row>
    <row r="8" spans="2:28" s="145" customFormat="1" ht="15">
      <c r="B8" s="145" t="s">
        <v>0</v>
      </c>
      <c r="C8" s="131">
        <f>'(A) Gross Budget Summary'!C9</f>
        <v>61239052</v>
      </c>
      <c r="D8" s="131"/>
      <c r="E8" s="126">
        <v>-25030</v>
      </c>
      <c r="F8" s="131"/>
      <c r="G8" s="146">
        <f aca="true" t="shared" si="0" ref="G8:G30">C8+E8</f>
        <v>61214022</v>
      </c>
      <c r="H8" s="126"/>
      <c r="I8" s="126">
        <v>-1409000</v>
      </c>
      <c r="J8" s="126"/>
      <c r="K8" s="146">
        <f aca="true" t="shared" si="1" ref="K8:K30">G8+I8</f>
        <v>59805022</v>
      </c>
      <c r="L8" s="126"/>
      <c r="M8" s="126">
        <v>-168800</v>
      </c>
      <c r="N8" s="126"/>
      <c r="O8" s="126">
        <f>'(C) Uses of Revenue'!R8</f>
        <v>0</v>
      </c>
      <c r="P8" s="251"/>
      <c r="R8" s="126"/>
      <c r="S8" s="126"/>
      <c r="T8" s="126"/>
      <c r="U8" s="126"/>
      <c r="V8" s="126"/>
      <c r="W8" s="126">
        <f>'(D) SUF revenue-SUG-FTES'!R7</f>
        <v>-784000</v>
      </c>
      <c r="X8" s="126">
        <f>'(E) SUG'!L9</f>
        <v>1450800</v>
      </c>
      <c r="Y8" s="126"/>
      <c r="Z8" s="179">
        <f aca="true" t="shared" si="2" ref="Z8:Z30">E8+I8+M8+O8+Q8+S8+U8+W8+X8</f>
        <v>-936030</v>
      </c>
      <c r="AA8" s="131"/>
      <c r="AB8" s="146">
        <f aca="true" t="shared" si="3" ref="AB8:AB30">C8+Z8</f>
        <v>60303022</v>
      </c>
    </row>
    <row r="9" spans="2:30" s="48" customFormat="1" ht="15">
      <c r="B9" s="48" t="s">
        <v>1</v>
      </c>
      <c r="C9" s="109">
        <f>'(A) Gross Budget Summary'!C10</f>
        <v>43032603</v>
      </c>
      <c r="D9" s="109"/>
      <c r="E9" s="244">
        <v>-15150</v>
      </c>
      <c r="F9" s="109"/>
      <c r="G9" s="147">
        <f t="shared" si="0"/>
        <v>43017453</v>
      </c>
      <c r="H9" s="127"/>
      <c r="I9" s="127">
        <v>-990000</v>
      </c>
      <c r="J9" s="127"/>
      <c r="K9" s="147">
        <f t="shared" si="1"/>
        <v>42027453</v>
      </c>
      <c r="L9" s="127"/>
      <c r="M9" s="127">
        <v>-118600</v>
      </c>
      <c r="N9" s="130"/>
      <c r="O9" s="127">
        <f>'(C) Uses of Revenue'!R9</f>
        <v>729900</v>
      </c>
      <c r="P9" s="251"/>
      <c r="R9" s="127"/>
      <c r="S9" s="127"/>
      <c r="T9" s="127"/>
      <c r="U9" s="127"/>
      <c r="V9" s="127"/>
      <c r="W9" s="127">
        <f>'(D) SUF revenue-SUG-FTES'!R8</f>
        <v>-283000</v>
      </c>
      <c r="X9" s="127">
        <f>'(E) SUG'!L10</f>
        <v>326400</v>
      </c>
      <c r="Y9" s="127"/>
      <c r="Z9" s="180">
        <f t="shared" si="2"/>
        <v>-350450</v>
      </c>
      <c r="AA9" s="109"/>
      <c r="AB9" s="147">
        <f t="shared" si="3"/>
        <v>42682153</v>
      </c>
      <c r="AD9" s="91"/>
    </row>
    <row r="10" spans="2:30" s="48" customFormat="1" ht="15">
      <c r="B10" s="48" t="s">
        <v>2</v>
      </c>
      <c r="C10" s="109">
        <f>'(A) Gross Budget Summary'!C11</f>
        <v>119890742</v>
      </c>
      <c r="D10" s="109"/>
      <c r="E10" s="244">
        <v>-54540</v>
      </c>
      <c r="F10" s="109"/>
      <c r="G10" s="147">
        <f>C10+E10</f>
        <v>119836202</v>
      </c>
      <c r="H10" s="127"/>
      <c r="I10" s="127">
        <v>-2759000</v>
      </c>
      <c r="J10" s="127"/>
      <c r="K10" s="147">
        <f t="shared" si="1"/>
        <v>117077202</v>
      </c>
      <c r="L10" s="127"/>
      <c r="M10" s="127">
        <v>-330500</v>
      </c>
      <c r="N10" s="130"/>
      <c r="O10" s="127">
        <f>'(C) Uses of Revenue'!R10</f>
        <v>114200</v>
      </c>
      <c r="P10" s="251"/>
      <c r="R10" s="127"/>
      <c r="S10" s="127"/>
      <c r="T10" s="127"/>
      <c r="U10" s="127"/>
      <c r="V10" s="127"/>
      <c r="W10" s="127">
        <f>'(D) SUF revenue-SUG-FTES'!R9</f>
        <v>-1620000</v>
      </c>
      <c r="X10" s="127">
        <f>'(E) SUG'!L11</f>
        <v>952900</v>
      </c>
      <c r="Y10" s="127"/>
      <c r="Z10" s="180">
        <f t="shared" si="2"/>
        <v>-3696940</v>
      </c>
      <c r="AA10" s="109"/>
      <c r="AB10" s="147">
        <f t="shared" si="3"/>
        <v>116193802</v>
      </c>
      <c r="AD10" s="91"/>
    </row>
    <row r="11" spans="2:30" s="48" customFormat="1" ht="15">
      <c r="B11" s="48" t="s">
        <v>3</v>
      </c>
      <c r="C11" s="109">
        <f>'(A) Gross Budget Summary'!C12</f>
        <v>71927143</v>
      </c>
      <c r="D11" s="109"/>
      <c r="E11" s="244">
        <v>-30061</v>
      </c>
      <c r="F11" s="109"/>
      <c r="G11" s="147">
        <f t="shared" si="0"/>
        <v>71897082</v>
      </c>
      <c r="H11" s="127"/>
      <c r="I11" s="127">
        <v>-1655000</v>
      </c>
      <c r="J11" s="127"/>
      <c r="K11" s="147">
        <f t="shared" si="1"/>
        <v>70242082</v>
      </c>
      <c r="L11" s="127"/>
      <c r="M11" s="127">
        <v>-198300</v>
      </c>
      <c r="N11" s="130"/>
      <c r="O11" s="127">
        <f>'(C) Uses of Revenue'!R11</f>
        <v>1207300</v>
      </c>
      <c r="P11" s="251"/>
      <c r="R11" s="127"/>
      <c r="S11" s="127"/>
      <c r="T11" s="127"/>
      <c r="U11" s="127"/>
      <c r="V11" s="127"/>
      <c r="W11" s="127">
        <f>'(D) SUF revenue-SUG-FTES'!R10</f>
        <v>-1227000</v>
      </c>
      <c r="X11" s="127">
        <f>'(E) SUG'!L12</f>
        <v>3041400</v>
      </c>
      <c r="Y11" s="127"/>
      <c r="Z11" s="180">
        <f t="shared" si="2"/>
        <v>1138339</v>
      </c>
      <c r="AA11" s="109"/>
      <c r="AB11" s="147">
        <f t="shared" si="3"/>
        <v>73065482</v>
      </c>
      <c r="AD11" s="91"/>
    </row>
    <row r="12" spans="2:30" s="48" customFormat="1" ht="15">
      <c r="B12" s="48" t="s">
        <v>30</v>
      </c>
      <c r="C12" s="109">
        <f>'(A) Gross Budget Summary'!C13</f>
        <v>89778621</v>
      </c>
      <c r="D12" s="109"/>
      <c r="E12" s="244">
        <v>-47700</v>
      </c>
      <c r="F12" s="109"/>
      <c r="G12" s="147">
        <f t="shared" si="0"/>
        <v>89730921</v>
      </c>
      <c r="H12" s="127"/>
      <c r="I12" s="127">
        <v>-2065000</v>
      </c>
      <c r="J12" s="127"/>
      <c r="K12" s="147">
        <f t="shared" si="1"/>
        <v>87665921</v>
      </c>
      <c r="L12" s="127"/>
      <c r="M12" s="127">
        <v>-247500</v>
      </c>
      <c r="N12" s="130"/>
      <c r="O12" s="127">
        <f>'(C) Uses of Revenue'!R12</f>
        <v>0</v>
      </c>
      <c r="P12" s="251"/>
      <c r="R12" s="127"/>
      <c r="S12" s="127"/>
      <c r="T12" s="127"/>
      <c r="U12" s="127"/>
      <c r="V12" s="127"/>
      <c r="W12" s="127">
        <f>'(D) SUF revenue-SUG-FTES'!R11</f>
        <v>-1460000</v>
      </c>
      <c r="X12" s="127">
        <f>'(E) SUG'!L13</f>
        <v>1581900</v>
      </c>
      <c r="Y12" s="127"/>
      <c r="Z12" s="180">
        <f t="shared" si="2"/>
        <v>-2238300</v>
      </c>
      <c r="AA12" s="109"/>
      <c r="AB12" s="147">
        <f t="shared" si="3"/>
        <v>87540321</v>
      </c>
      <c r="AD12" s="91"/>
    </row>
    <row r="13" spans="2:30" s="48" customFormat="1" ht="15">
      <c r="B13" s="48" t="s">
        <v>4</v>
      </c>
      <c r="C13" s="109">
        <f>'(A) Gross Budget Summary'!C14</f>
        <v>153592512</v>
      </c>
      <c r="D13" s="109"/>
      <c r="E13" s="244">
        <v>-65010</v>
      </c>
      <c r="F13" s="109"/>
      <c r="G13" s="147">
        <f t="shared" si="0"/>
        <v>153527502</v>
      </c>
      <c r="H13" s="127"/>
      <c r="I13" s="127">
        <v>-3533000</v>
      </c>
      <c r="J13" s="127"/>
      <c r="K13" s="147">
        <f t="shared" si="1"/>
        <v>149994502</v>
      </c>
      <c r="L13" s="127"/>
      <c r="M13" s="127">
        <v>-423400</v>
      </c>
      <c r="N13" s="130"/>
      <c r="O13" s="127">
        <f>'(C) Uses of Revenue'!R13</f>
        <v>715900</v>
      </c>
      <c r="P13" s="251"/>
      <c r="R13" s="127"/>
      <c r="S13" s="127"/>
      <c r="T13" s="127"/>
      <c r="U13" s="127"/>
      <c r="V13" s="127"/>
      <c r="W13" s="127">
        <f>'(D) SUF revenue-SUG-FTES'!R12</f>
        <v>-2146000</v>
      </c>
      <c r="X13" s="127">
        <f>'(E) SUG'!L14</f>
        <v>2121000</v>
      </c>
      <c r="Y13" s="127"/>
      <c r="Z13" s="180">
        <f t="shared" si="2"/>
        <v>-3330510</v>
      </c>
      <c r="AA13" s="109"/>
      <c r="AB13" s="147">
        <f t="shared" si="3"/>
        <v>150262002</v>
      </c>
      <c r="AD13" s="91"/>
    </row>
    <row r="14" spans="2:30" s="48" customFormat="1" ht="15">
      <c r="B14" s="48" t="s">
        <v>5</v>
      </c>
      <c r="C14" s="109">
        <f>'(A) Gross Budget Summary'!C15</f>
        <v>179775337</v>
      </c>
      <c r="D14" s="109"/>
      <c r="E14" s="244">
        <v>-96600</v>
      </c>
      <c r="F14" s="109"/>
      <c r="G14" s="147">
        <f t="shared" si="0"/>
        <v>179678737</v>
      </c>
      <c r="H14" s="127"/>
      <c r="I14" s="127">
        <v>-4136000</v>
      </c>
      <c r="J14" s="127"/>
      <c r="K14" s="147">
        <f t="shared" si="1"/>
        <v>175542737</v>
      </c>
      <c r="L14" s="127"/>
      <c r="M14" s="127">
        <v>-495500</v>
      </c>
      <c r="N14" s="130"/>
      <c r="O14" s="127">
        <f>'(C) Uses of Revenue'!R14</f>
        <v>1949700</v>
      </c>
      <c r="P14" s="251"/>
      <c r="R14" s="127"/>
      <c r="S14" s="127"/>
      <c r="T14" s="127"/>
      <c r="U14" s="127"/>
      <c r="V14" s="127"/>
      <c r="W14" s="127">
        <f>'(D) SUF revenue-SUG-FTES'!R13</f>
        <v>-3544000</v>
      </c>
      <c r="X14" s="127">
        <f>'(E) SUG'!L15</f>
        <v>2394500</v>
      </c>
      <c r="Y14" s="127"/>
      <c r="Z14" s="180">
        <f t="shared" si="2"/>
        <v>-3927900</v>
      </c>
      <c r="AA14" s="109"/>
      <c r="AB14" s="147">
        <f t="shared" si="3"/>
        <v>175847437</v>
      </c>
      <c r="AD14" s="91"/>
    </row>
    <row r="15" spans="2:30" s="48" customFormat="1" ht="15">
      <c r="B15" s="48" t="s">
        <v>6</v>
      </c>
      <c r="C15" s="109">
        <f>'(A) Gross Budget Summary'!C16</f>
        <v>76210440</v>
      </c>
      <c r="D15" s="109"/>
      <c r="E15" s="244">
        <v>-30630</v>
      </c>
      <c r="F15" s="109"/>
      <c r="G15" s="147">
        <f t="shared" si="0"/>
        <v>76179810</v>
      </c>
      <c r="H15" s="127"/>
      <c r="I15" s="127">
        <v>-1753000</v>
      </c>
      <c r="J15" s="127"/>
      <c r="K15" s="147">
        <f t="shared" si="1"/>
        <v>74426810</v>
      </c>
      <c r="L15" s="127"/>
      <c r="M15" s="127">
        <v>-210100</v>
      </c>
      <c r="N15" s="130"/>
      <c r="O15" s="127">
        <f>'(C) Uses of Revenue'!R15</f>
        <v>0</v>
      </c>
      <c r="P15" s="251"/>
      <c r="R15" s="127"/>
      <c r="S15" s="127"/>
      <c r="T15" s="127"/>
      <c r="U15" s="127"/>
      <c r="V15" s="127"/>
      <c r="W15" s="127">
        <f>'(D) SUF revenue-SUG-FTES'!R14</f>
        <v>-778000</v>
      </c>
      <c r="X15" s="127">
        <f>'(E) SUG'!L16</f>
        <v>657200</v>
      </c>
      <c r="Y15" s="127"/>
      <c r="Z15" s="180">
        <f t="shared" si="2"/>
        <v>-2114530</v>
      </c>
      <c r="AA15" s="109"/>
      <c r="AB15" s="147">
        <f t="shared" si="3"/>
        <v>74095910</v>
      </c>
      <c r="AD15" s="91"/>
    </row>
    <row r="16" spans="2:30" s="48" customFormat="1" ht="15">
      <c r="B16" s="48" t="s">
        <v>7</v>
      </c>
      <c r="C16" s="109">
        <f>'(A) Gross Budget Summary'!C17</f>
        <v>204868758</v>
      </c>
      <c r="D16" s="109"/>
      <c r="E16" s="244">
        <v>-111180</v>
      </c>
      <c r="F16" s="109"/>
      <c r="G16" s="147">
        <f t="shared" si="0"/>
        <v>204757578</v>
      </c>
      <c r="H16" s="127"/>
      <c r="I16" s="127">
        <v>-4713000</v>
      </c>
      <c r="J16" s="127"/>
      <c r="K16" s="147">
        <f t="shared" si="1"/>
        <v>200044578</v>
      </c>
      <c r="L16" s="127"/>
      <c r="M16" s="127">
        <v>-564600</v>
      </c>
      <c r="N16" s="130"/>
      <c r="O16" s="127">
        <f>'(C) Uses of Revenue'!R16</f>
        <v>0</v>
      </c>
      <c r="P16" s="251"/>
      <c r="R16" s="127"/>
      <c r="S16" s="127"/>
      <c r="T16" s="127"/>
      <c r="U16" s="127"/>
      <c r="V16" s="127"/>
      <c r="W16" s="127">
        <f>'(D) SUF revenue-SUG-FTES'!R15</f>
        <v>-3624000</v>
      </c>
      <c r="X16" s="127">
        <f>'(E) SUG'!L17</f>
        <v>2687700</v>
      </c>
      <c r="Y16" s="127"/>
      <c r="Z16" s="180">
        <f t="shared" si="2"/>
        <v>-6325080</v>
      </c>
      <c r="AA16" s="109"/>
      <c r="AB16" s="147">
        <f t="shared" si="3"/>
        <v>198543678</v>
      </c>
      <c r="AD16" s="91"/>
    </row>
    <row r="17" spans="2:30" s="48" customFormat="1" ht="15">
      <c r="B17" s="48" t="s">
        <v>8</v>
      </c>
      <c r="C17" s="109">
        <f>'(A) Gross Budget Summary'!C18</f>
        <v>133080149</v>
      </c>
      <c r="D17" s="109"/>
      <c r="E17" s="244">
        <v>-61170</v>
      </c>
      <c r="F17" s="109"/>
      <c r="G17" s="147">
        <f t="shared" si="0"/>
        <v>133018979</v>
      </c>
      <c r="H17" s="127"/>
      <c r="I17" s="127">
        <v>-3062000</v>
      </c>
      <c r="J17" s="127"/>
      <c r="K17" s="147">
        <f t="shared" si="1"/>
        <v>129956979</v>
      </c>
      <c r="L17" s="127"/>
      <c r="M17" s="127">
        <v>-366800</v>
      </c>
      <c r="N17" s="130"/>
      <c r="O17" s="127">
        <f>'(C) Uses of Revenue'!R17</f>
        <v>33800</v>
      </c>
      <c r="P17" s="251"/>
      <c r="R17" s="127"/>
      <c r="S17" s="127"/>
      <c r="T17" s="127"/>
      <c r="U17" s="127"/>
      <c r="V17" s="127"/>
      <c r="W17" s="127">
        <f>'(D) SUF revenue-SUG-FTES'!R16</f>
        <v>-2224000</v>
      </c>
      <c r="X17" s="127">
        <f>'(E) SUG'!L18</f>
        <v>3654500</v>
      </c>
      <c r="Y17" s="127"/>
      <c r="Z17" s="180">
        <f t="shared" si="2"/>
        <v>-2025670</v>
      </c>
      <c r="AA17" s="109"/>
      <c r="AB17" s="147">
        <f t="shared" si="3"/>
        <v>131054479</v>
      </c>
      <c r="AD17" s="91"/>
    </row>
    <row r="18" spans="2:30" s="48" customFormat="1" ht="15">
      <c r="B18" s="48" t="s">
        <v>9</v>
      </c>
      <c r="C18" s="109">
        <f>'(A) Gross Budget Summary'!C19</f>
        <v>19018281</v>
      </c>
      <c r="D18" s="109"/>
      <c r="E18" s="244">
        <v>-8070</v>
      </c>
      <c r="F18" s="109"/>
      <c r="G18" s="147">
        <f t="shared" si="0"/>
        <v>19010211</v>
      </c>
      <c r="H18" s="127"/>
      <c r="I18" s="127">
        <v>-438000</v>
      </c>
      <c r="J18" s="127"/>
      <c r="K18" s="147">
        <f t="shared" si="1"/>
        <v>18572211</v>
      </c>
      <c r="L18" s="127"/>
      <c r="M18" s="127">
        <v>-52400</v>
      </c>
      <c r="N18" s="130"/>
      <c r="O18" s="127">
        <f>'(C) Uses of Revenue'!R18</f>
        <v>0</v>
      </c>
      <c r="P18" s="251"/>
      <c r="R18" s="127"/>
      <c r="S18" s="127"/>
      <c r="T18" s="127"/>
      <c r="U18" s="127"/>
      <c r="V18" s="127"/>
      <c r="W18" s="127">
        <f>'(D) SUF revenue-SUG-FTES'!R17</f>
        <v>-73000</v>
      </c>
      <c r="X18" s="127">
        <f>'(E) SUG'!L19</f>
        <v>52200</v>
      </c>
      <c r="Y18" s="127"/>
      <c r="Z18" s="180">
        <f t="shared" si="2"/>
        <v>-519270</v>
      </c>
      <c r="AA18" s="109"/>
      <c r="AB18" s="147">
        <f t="shared" si="3"/>
        <v>18499011</v>
      </c>
      <c r="AD18" s="91"/>
    </row>
    <row r="19" spans="2:30" s="48" customFormat="1" ht="15">
      <c r="B19" s="48" t="s">
        <v>10</v>
      </c>
      <c r="C19" s="109">
        <f>'(A) Gross Budget Summary'!C20</f>
        <v>53009703</v>
      </c>
      <c r="D19" s="109"/>
      <c r="E19" s="244">
        <v>-16800</v>
      </c>
      <c r="F19" s="109"/>
      <c r="G19" s="147">
        <f t="shared" si="0"/>
        <v>52992903</v>
      </c>
      <c r="H19" s="127"/>
      <c r="I19" s="127">
        <v>-1220000</v>
      </c>
      <c r="J19" s="127"/>
      <c r="K19" s="147">
        <f t="shared" si="1"/>
        <v>51772903</v>
      </c>
      <c r="L19" s="127"/>
      <c r="M19" s="127">
        <v>-146100</v>
      </c>
      <c r="N19" s="130"/>
      <c r="O19" s="127">
        <f>'(C) Uses of Revenue'!R19</f>
        <v>32900</v>
      </c>
      <c r="P19" s="251"/>
      <c r="R19" s="127"/>
      <c r="S19" s="127"/>
      <c r="T19" s="127"/>
      <c r="U19" s="127"/>
      <c r="V19" s="127"/>
      <c r="W19" s="127">
        <f>'(D) SUF revenue-SUG-FTES'!R18</f>
        <v>-395000</v>
      </c>
      <c r="X19" s="127">
        <f>'(E) SUG'!L20</f>
        <v>777200</v>
      </c>
      <c r="Y19" s="127"/>
      <c r="Z19" s="180">
        <f t="shared" si="2"/>
        <v>-967800</v>
      </c>
      <c r="AA19" s="109"/>
      <c r="AB19" s="147">
        <f t="shared" si="3"/>
        <v>52041903</v>
      </c>
      <c r="AD19" s="91"/>
    </row>
    <row r="20" spans="2:30" s="48" customFormat="1" ht="15">
      <c r="B20" s="48" t="s">
        <v>11</v>
      </c>
      <c r="C20" s="109">
        <f>'(A) Gross Budget Summary'!C21</f>
        <v>194191936</v>
      </c>
      <c r="D20" s="109"/>
      <c r="E20" s="244">
        <v>-93720</v>
      </c>
      <c r="F20" s="109"/>
      <c r="G20" s="147">
        <f t="shared" si="0"/>
        <v>194098216</v>
      </c>
      <c r="H20" s="127"/>
      <c r="I20" s="127">
        <v>-4467000</v>
      </c>
      <c r="J20" s="127"/>
      <c r="K20" s="147">
        <f t="shared" si="1"/>
        <v>189631216</v>
      </c>
      <c r="L20" s="127"/>
      <c r="M20" s="127">
        <v>-535200</v>
      </c>
      <c r="N20" s="130"/>
      <c r="O20" s="127">
        <f>'(C) Uses of Revenue'!R20</f>
        <v>1848600</v>
      </c>
      <c r="P20" s="251"/>
      <c r="R20" s="127"/>
      <c r="S20" s="127"/>
      <c r="T20" s="127"/>
      <c r="U20" s="127"/>
      <c r="V20" s="127"/>
      <c r="W20" s="127">
        <f>'(D) SUF revenue-SUG-FTES'!R19</f>
        <v>-3414000</v>
      </c>
      <c r="X20" s="127">
        <f>'(E) SUG'!L21</f>
        <v>3066500</v>
      </c>
      <c r="Y20" s="127"/>
      <c r="Z20" s="180">
        <f t="shared" si="2"/>
        <v>-3594820</v>
      </c>
      <c r="AA20" s="109"/>
      <c r="AB20" s="147">
        <f t="shared" si="3"/>
        <v>190597116</v>
      </c>
      <c r="AD20" s="91"/>
    </row>
    <row r="21" spans="2:30" s="48" customFormat="1" ht="15">
      <c r="B21" s="48" t="s">
        <v>12</v>
      </c>
      <c r="C21" s="109">
        <f>'(A) Gross Budget Summary'!C22</f>
        <v>145896192</v>
      </c>
      <c r="D21" s="109"/>
      <c r="E21" s="244">
        <v>-72070</v>
      </c>
      <c r="F21" s="109"/>
      <c r="G21" s="147">
        <f t="shared" si="0"/>
        <v>145824122</v>
      </c>
      <c r="H21" s="127"/>
      <c r="I21" s="127">
        <v>-3357000</v>
      </c>
      <c r="J21" s="127"/>
      <c r="K21" s="147">
        <f t="shared" si="1"/>
        <v>142467122</v>
      </c>
      <c r="L21" s="127"/>
      <c r="M21" s="127">
        <v>-402000</v>
      </c>
      <c r="N21" s="130"/>
      <c r="O21" s="127">
        <f>'(C) Uses of Revenue'!R21</f>
        <v>0</v>
      </c>
      <c r="P21" s="251"/>
      <c r="R21" s="127"/>
      <c r="S21" s="127"/>
      <c r="T21" s="127"/>
      <c r="U21" s="127"/>
      <c r="V21" s="127"/>
      <c r="W21" s="127">
        <f>'(D) SUF revenue-SUG-FTES'!R20</f>
        <v>-2197000</v>
      </c>
      <c r="X21" s="127">
        <f>'(E) SUG'!L22</f>
        <v>1619700</v>
      </c>
      <c r="Y21" s="127"/>
      <c r="Z21" s="180">
        <f t="shared" si="2"/>
        <v>-4408370</v>
      </c>
      <c r="AA21" s="109"/>
      <c r="AB21" s="147">
        <f t="shared" si="3"/>
        <v>141487822</v>
      </c>
      <c r="AD21" s="91"/>
    </row>
    <row r="22" spans="2:30" s="48" customFormat="1" ht="15">
      <c r="B22" s="48" t="s">
        <v>13</v>
      </c>
      <c r="C22" s="109">
        <f>'(A) Gross Budget Summary'!C23</f>
        <v>165622497</v>
      </c>
      <c r="D22" s="109"/>
      <c r="E22" s="244">
        <v>-83280</v>
      </c>
      <c r="F22" s="109"/>
      <c r="G22" s="147">
        <f t="shared" si="0"/>
        <v>165539217</v>
      </c>
      <c r="H22" s="127"/>
      <c r="I22" s="127">
        <v>-3881000</v>
      </c>
      <c r="J22" s="127"/>
      <c r="K22" s="147">
        <f t="shared" si="1"/>
        <v>161658217</v>
      </c>
      <c r="L22" s="127"/>
      <c r="M22" s="127">
        <v>-456300</v>
      </c>
      <c r="N22" s="130"/>
      <c r="O22" s="127">
        <f>'(C) Uses of Revenue'!R22</f>
        <v>0</v>
      </c>
      <c r="P22" s="251"/>
      <c r="R22" s="127"/>
      <c r="S22" s="127"/>
      <c r="T22" s="127"/>
      <c r="U22" s="127"/>
      <c r="V22" s="127"/>
      <c r="W22" s="127">
        <f>'(D) SUF revenue-SUG-FTES'!R21</f>
        <v>-2783000</v>
      </c>
      <c r="X22" s="127">
        <f>'(E) SUG'!L23</f>
        <v>3013000</v>
      </c>
      <c r="Y22" s="127"/>
      <c r="Z22" s="180">
        <f t="shared" si="2"/>
        <v>-4190580</v>
      </c>
      <c r="AA22" s="109"/>
      <c r="AB22" s="147">
        <f t="shared" si="3"/>
        <v>161431917</v>
      </c>
      <c r="AD22" s="91"/>
    </row>
    <row r="23" spans="2:30" s="48" customFormat="1" ht="15">
      <c r="B23" s="48" t="s">
        <v>14</v>
      </c>
      <c r="C23" s="109">
        <f>'(A) Gross Budget Summary'!C24</f>
        <v>106451088</v>
      </c>
      <c r="D23" s="109"/>
      <c r="E23" s="244">
        <v>-46630</v>
      </c>
      <c r="F23" s="109"/>
      <c r="G23" s="147">
        <f t="shared" si="0"/>
        <v>106404458</v>
      </c>
      <c r="H23" s="127"/>
      <c r="I23" s="127">
        <v>-2449000</v>
      </c>
      <c r="J23" s="127"/>
      <c r="K23" s="147">
        <f t="shared" si="1"/>
        <v>103955458</v>
      </c>
      <c r="L23" s="127"/>
      <c r="M23" s="127">
        <v>-293400</v>
      </c>
      <c r="N23" s="130"/>
      <c r="O23" s="127">
        <f>'(C) Uses of Revenue'!R23</f>
        <v>0</v>
      </c>
      <c r="P23" s="251"/>
      <c r="R23" s="127"/>
      <c r="S23" s="127"/>
      <c r="T23" s="127"/>
      <c r="U23" s="127"/>
      <c r="V23" s="127"/>
      <c r="W23" s="127">
        <f>'(D) SUF revenue-SUG-FTES'!R22</f>
        <v>-1791000</v>
      </c>
      <c r="X23" s="127">
        <f>'(E) SUG'!L24</f>
        <v>3068900</v>
      </c>
      <c r="Y23" s="127"/>
      <c r="Z23" s="180">
        <f t="shared" si="2"/>
        <v>-1511130</v>
      </c>
      <c r="AA23" s="109"/>
      <c r="AB23" s="147">
        <f t="shared" si="3"/>
        <v>104939958</v>
      </c>
      <c r="AD23" s="91"/>
    </row>
    <row r="24" spans="2:30" s="48" customFormat="1" ht="15">
      <c r="B24" s="48" t="s">
        <v>15</v>
      </c>
      <c r="C24" s="109">
        <f>'(A) Gross Budget Summary'!C25</f>
        <v>221267746</v>
      </c>
      <c r="D24" s="109"/>
      <c r="E24" s="244">
        <v>-122730</v>
      </c>
      <c r="F24" s="109"/>
      <c r="G24" s="147">
        <f t="shared" si="0"/>
        <v>221145016</v>
      </c>
      <c r="H24" s="127"/>
      <c r="I24" s="127">
        <v>-5090000</v>
      </c>
      <c r="J24" s="127"/>
      <c r="K24" s="147">
        <f t="shared" si="1"/>
        <v>216055016</v>
      </c>
      <c r="L24" s="127"/>
      <c r="M24" s="127">
        <v>-609800</v>
      </c>
      <c r="N24" s="130"/>
      <c r="O24" s="127">
        <f>'(C) Uses of Revenue'!R24</f>
        <v>0</v>
      </c>
      <c r="P24" s="251"/>
      <c r="R24" s="127"/>
      <c r="S24" s="127"/>
      <c r="T24" s="127"/>
      <c r="U24" s="127"/>
      <c r="V24" s="127"/>
      <c r="W24" s="127">
        <f>'(D) SUF revenue-SUG-FTES'!R23</f>
        <v>-3535000</v>
      </c>
      <c r="X24" s="127">
        <f>'(E) SUG'!L25</f>
        <v>2919800</v>
      </c>
      <c r="Y24" s="127"/>
      <c r="Z24" s="180">
        <f t="shared" si="2"/>
        <v>-6437730</v>
      </c>
      <c r="AA24" s="109"/>
      <c r="AB24" s="147">
        <f t="shared" si="3"/>
        <v>214830016</v>
      </c>
      <c r="AD24" s="91"/>
    </row>
    <row r="25" spans="2:30" s="48" customFormat="1" ht="15">
      <c r="B25" s="48" t="s">
        <v>16</v>
      </c>
      <c r="C25" s="109">
        <f>'(A) Gross Budget Summary'!C26</f>
        <v>170761449</v>
      </c>
      <c r="D25" s="109"/>
      <c r="E25" s="244">
        <v>-95700</v>
      </c>
      <c r="F25" s="109"/>
      <c r="G25" s="147">
        <f t="shared" si="0"/>
        <v>170665749</v>
      </c>
      <c r="H25" s="127"/>
      <c r="I25" s="127">
        <v>-3928000</v>
      </c>
      <c r="J25" s="127"/>
      <c r="K25" s="147">
        <f t="shared" si="1"/>
        <v>166737749</v>
      </c>
      <c r="L25" s="127"/>
      <c r="M25" s="127">
        <v>-470600</v>
      </c>
      <c r="N25" s="130"/>
      <c r="O25" s="127">
        <f>'(C) Uses of Revenue'!R25</f>
        <v>33100</v>
      </c>
      <c r="P25" s="251"/>
      <c r="R25" s="127"/>
      <c r="S25" s="127"/>
      <c r="T25" s="127"/>
      <c r="U25" s="127"/>
      <c r="V25" s="127"/>
      <c r="W25" s="127">
        <f>'(D) SUF revenue-SUG-FTES'!R24</f>
        <v>-2985000</v>
      </c>
      <c r="X25" s="127">
        <f>'(E) SUG'!L26</f>
        <v>2216000</v>
      </c>
      <c r="Y25" s="127"/>
      <c r="Z25" s="180">
        <f t="shared" si="2"/>
        <v>-5230200</v>
      </c>
      <c r="AA25" s="109"/>
      <c r="AB25" s="147">
        <f t="shared" si="3"/>
        <v>165531249</v>
      </c>
      <c r="AD25" s="91"/>
    </row>
    <row r="26" spans="2:30" s="48" customFormat="1" ht="15">
      <c r="B26" s="48" t="s">
        <v>17</v>
      </c>
      <c r="C26" s="109">
        <f>'(A) Gross Budget Summary'!C27</f>
        <v>167277822</v>
      </c>
      <c r="D26" s="109"/>
      <c r="E26" s="244">
        <v>-88550</v>
      </c>
      <c r="F26" s="109"/>
      <c r="G26" s="147">
        <f t="shared" si="0"/>
        <v>167189272</v>
      </c>
      <c r="H26" s="127"/>
      <c r="I26" s="127">
        <v>-3848000</v>
      </c>
      <c r="J26" s="127"/>
      <c r="K26" s="147">
        <f t="shared" si="1"/>
        <v>163341272</v>
      </c>
      <c r="L26" s="127"/>
      <c r="M26" s="127">
        <v>-461100</v>
      </c>
      <c r="N26" s="130"/>
      <c r="O26" s="127">
        <f>'(C) Uses of Revenue'!R26</f>
        <v>0</v>
      </c>
      <c r="P26" s="251"/>
      <c r="R26" s="127"/>
      <c r="S26" s="127"/>
      <c r="T26" s="127"/>
      <c r="U26" s="127"/>
      <c r="V26" s="127"/>
      <c r="W26" s="127">
        <f>'(D) SUF revenue-SUG-FTES'!R25</f>
        <v>-3018000</v>
      </c>
      <c r="X26" s="127">
        <f>'(E) SUG'!L27</f>
        <v>3367100</v>
      </c>
      <c r="Y26" s="127"/>
      <c r="Z26" s="180">
        <f t="shared" si="2"/>
        <v>-4048550</v>
      </c>
      <c r="AA26" s="109"/>
      <c r="AB26" s="147">
        <f t="shared" si="3"/>
        <v>163229272</v>
      </c>
      <c r="AD26" s="91"/>
    </row>
    <row r="27" spans="2:30" s="48" customFormat="1" ht="15">
      <c r="B27" s="48" t="s">
        <v>18</v>
      </c>
      <c r="C27" s="109">
        <f>'(A) Gross Budget Summary'!C28</f>
        <v>148796428</v>
      </c>
      <c r="D27" s="109"/>
      <c r="E27" s="244">
        <v>-74040</v>
      </c>
      <c r="F27" s="109"/>
      <c r="G27" s="147">
        <f t="shared" si="0"/>
        <v>148722388</v>
      </c>
      <c r="H27" s="127"/>
      <c r="I27" s="127">
        <v>-3424000</v>
      </c>
      <c r="J27" s="127"/>
      <c r="K27" s="147">
        <f t="shared" si="1"/>
        <v>145298388</v>
      </c>
      <c r="L27" s="127"/>
      <c r="M27" s="127">
        <v>-410100</v>
      </c>
      <c r="N27" s="130"/>
      <c r="O27" s="127">
        <f>'(C) Uses of Revenue'!R27</f>
        <v>62900</v>
      </c>
      <c r="P27" s="251"/>
      <c r="R27" s="127"/>
      <c r="S27" s="127"/>
      <c r="T27" s="127"/>
      <c r="U27" s="127"/>
      <c r="V27" s="127"/>
      <c r="W27" s="127">
        <f>'(D) SUF revenue-SUG-FTES'!R26</f>
        <v>-1965000</v>
      </c>
      <c r="X27" s="127">
        <f>'(E) SUG'!L28</f>
        <v>893800</v>
      </c>
      <c r="Y27" s="127"/>
      <c r="Z27" s="180">
        <f t="shared" si="2"/>
        <v>-4916440</v>
      </c>
      <c r="AA27" s="109"/>
      <c r="AB27" s="147">
        <f t="shared" si="3"/>
        <v>143879988</v>
      </c>
      <c r="AD27" s="91"/>
    </row>
    <row r="28" spans="2:30" s="48" customFormat="1" ht="15">
      <c r="B28" s="48" t="s">
        <v>19</v>
      </c>
      <c r="C28" s="109">
        <f>'(A) Gross Budget Summary'!C29</f>
        <v>67185822</v>
      </c>
      <c r="D28" s="109"/>
      <c r="E28" s="244">
        <v>-27080</v>
      </c>
      <c r="F28" s="109"/>
      <c r="G28" s="147">
        <f t="shared" si="0"/>
        <v>67158742</v>
      </c>
      <c r="H28" s="127"/>
      <c r="I28" s="127">
        <v>-1546000</v>
      </c>
      <c r="J28" s="127"/>
      <c r="K28" s="147">
        <f t="shared" si="1"/>
        <v>65612742</v>
      </c>
      <c r="L28" s="127"/>
      <c r="M28" s="127">
        <v>-185200</v>
      </c>
      <c r="N28" s="130"/>
      <c r="O28" s="127">
        <f>'(C) Uses of Revenue'!R28</f>
        <v>0</v>
      </c>
      <c r="P28" s="251"/>
      <c r="R28" s="127"/>
      <c r="S28" s="127"/>
      <c r="T28" s="127"/>
      <c r="U28" s="127"/>
      <c r="V28" s="127"/>
      <c r="W28" s="127">
        <f>'(D) SUF revenue-SUG-FTES'!R27</f>
        <v>-870000</v>
      </c>
      <c r="X28" s="127">
        <f>'(E) SUG'!L29</f>
        <v>952100</v>
      </c>
      <c r="Y28" s="127"/>
      <c r="Z28" s="180">
        <f t="shared" si="2"/>
        <v>-1676180</v>
      </c>
      <c r="AA28" s="109"/>
      <c r="AB28" s="147">
        <f t="shared" si="3"/>
        <v>65509642</v>
      </c>
      <c r="AD28" s="91"/>
    </row>
    <row r="29" spans="2:30" s="48" customFormat="1" ht="15">
      <c r="B29" s="48" t="s">
        <v>20</v>
      </c>
      <c r="C29" s="109">
        <f>'(A) Gross Budget Summary'!C30</f>
        <v>63925273</v>
      </c>
      <c r="D29" s="109"/>
      <c r="E29" s="244">
        <v>-28700</v>
      </c>
      <c r="F29" s="109"/>
      <c r="G29" s="147">
        <f t="shared" si="0"/>
        <v>63896573</v>
      </c>
      <c r="H29" s="127"/>
      <c r="I29" s="127">
        <v>-1471000</v>
      </c>
      <c r="J29" s="127"/>
      <c r="K29" s="147">
        <f t="shared" si="1"/>
        <v>62425573</v>
      </c>
      <c r="L29" s="127"/>
      <c r="M29" s="127">
        <v>-176200</v>
      </c>
      <c r="N29" s="130"/>
      <c r="O29" s="127">
        <f>'(C) Uses of Revenue'!R29</f>
        <v>768700</v>
      </c>
      <c r="P29" s="251"/>
      <c r="R29" s="127"/>
      <c r="S29" s="127"/>
      <c r="T29" s="127"/>
      <c r="U29" s="127"/>
      <c r="V29" s="127"/>
      <c r="W29" s="127">
        <f>'(D) SUF revenue-SUG-FTES'!R28</f>
        <v>-834000</v>
      </c>
      <c r="X29" s="127">
        <f>'(E) SUG'!L30</f>
        <v>665000</v>
      </c>
      <c r="Y29" s="127"/>
      <c r="Z29" s="180">
        <f t="shared" si="2"/>
        <v>-1076200</v>
      </c>
      <c r="AA29" s="109"/>
      <c r="AB29" s="147">
        <f t="shared" si="3"/>
        <v>62849073</v>
      </c>
      <c r="AD29" s="91"/>
    </row>
    <row r="30" spans="2:30" s="48" customFormat="1" ht="15">
      <c r="B30" s="48" t="s">
        <v>21</v>
      </c>
      <c r="C30" s="109">
        <f>'(A) Gross Budget Summary'!C31</f>
        <v>63303857</v>
      </c>
      <c r="D30" s="109"/>
      <c r="E30" s="244">
        <v>-27220</v>
      </c>
      <c r="F30" s="109"/>
      <c r="G30" s="147">
        <f t="shared" si="0"/>
        <v>63276637</v>
      </c>
      <c r="H30" s="127"/>
      <c r="I30" s="127">
        <v>-1456000</v>
      </c>
      <c r="J30" s="127"/>
      <c r="K30" s="147">
        <f t="shared" si="1"/>
        <v>61820637</v>
      </c>
      <c r="L30" s="127"/>
      <c r="M30" s="127">
        <v>-174500</v>
      </c>
      <c r="N30" s="130"/>
      <c r="O30" s="127">
        <f>'(C) Uses of Revenue'!R30</f>
        <v>0</v>
      </c>
      <c r="P30" s="251"/>
      <c r="R30" s="127"/>
      <c r="S30" s="127"/>
      <c r="T30" s="127"/>
      <c r="U30" s="127"/>
      <c r="V30" s="127"/>
      <c r="W30" s="127">
        <f>'(D) SUF revenue-SUG-FTES'!R29</f>
        <v>-784000</v>
      </c>
      <c r="X30" s="127">
        <f>'(E) SUG'!L31</f>
        <v>1030400</v>
      </c>
      <c r="Y30" s="127"/>
      <c r="Z30" s="180">
        <f t="shared" si="2"/>
        <v>-1411320</v>
      </c>
      <c r="AA30" s="109"/>
      <c r="AB30" s="147">
        <f t="shared" si="3"/>
        <v>61892537</v>
      </c>
      <c r="AD30" s="91"/>
    </row>
    <row r="31" spans="3:30" s="48" customFormat="1" ht="9" customHeight="1">
      <c r="C31" s="109"/>
      <c r="D31" s="109"/>
      <c r="E31" s="109"/>
      <c r="F31" s="109"/>
      <c r="G31" s="147"/>
      <c r="H31" s="127"/>
      <c r="I31" s="127"/>
      <c r="J31" s="127"/>
      <c r="K31" s="147"/>
      <c r="L31" s="127"/>
      <c r="M31" s="127"/>
      <c r="N31" s="127"/>
      <c r="O31" s="127"/>
      <c r="P31" s="251"/>
      <c r="Q31" s="127"/>
      <c r="R31" s="127"/>
      <c r="S31" s="127"/>
      <c r="T31" s="127"/>
      <c r="U31" s="127"/>
      <c r="V31" s="127"/>
      <c r="W31" s="127"/>
      <c r="X31" s="127"/>
      <c r="Y31" s="127"/>
      <c r="Z31" s="180"/>
      <c r="AA31" s="109"/>
      <c r="AB31" s="147"/>
      <c r="AD31" s="91"/>
    </row>
    <row r="32" spans="2:28" s="145" customFormat="1" ht="18" customHeight="1">
      <c r="B32" s="89" t="s">
        <v>22</v>
      </c>
      <c r="C32" s="124">
        <f>SUM(C8:C31)</f>
        <v>2720103451</v>
      </c>
      <c r="D32" s="124"/>
      <c r="E32" s="124">
        <f>SUM(E8:E31)</f>
        <v>-1321661</v>
      </c>
      <c r="F32" s="124"/>
      <c r="G32" s="148">
        <f>SUM(G8:G31)</f>
        <v>2718781790</v>
      </c>
      <c r="H32" s="124"/>
      <c r="I32" s="124">
        <f>SUM(I8:I31)</f>
        <v>-62650000</v>
      </c>
      <c r="J32" s="124"/>
      <c r="K32" s="148">
        <f>SUM(K8:K31)</f>
        <v>2656131790</v>
      </c>
      <c r="L32" s="124"/>
      <c r="M32" s="124">
        <f>SUM(M8:M31)</f>
        <v>-7497000</v>
      </c>
      <c r="N32" s="124"/>
      <c r="O32" s="124">
        <f>SUM(O8:O31)</f>
        <v>7497000</v>
      </c>
      <c r="P32" s="253"/>
      <c r="Q32" s="124">
        <f>SUM(Q8:Q31)</f>
        <v>0</v>
      </c>
      <c r="R32" s="124"/>
      <c r="S32" s="124">
        <f>SUM(S8:S31)</f>
        <v>0</v>
      </c>
      <c r="T32" s="124"/>
      <c r="U32" s="124">
        <f>SUM(U8:U31)</f>
        <v>0</v>
      </c>
      <c r="V32" s="124"/>
      <c r="W32" s="124">
        <f>SUM(W8:W31)</f>
        <v>-42334000</v>
      </c>
      <c r="X32" s="124">
        <f>SUM(X8:X31)</f>
        <v>42510000</v>
      </c>
      <c r="Y32" s="124"/>
      <c r="Z32" s="181">
        <f>SUM(Z8:Z31)</f>
        <v>-63795661</v>
      </c>
      <c r="AA32" s="144"/>
      <c r="AB32" s="148">
        <f>SUM(AB8:AB31)</f>
        <v>2656307790</v>
      </c>
    </row>
    <row r="33" spans="3:30" s="48" customFormat="1" ht="9" customHeight="1">
      <c r="C33" s="109"/>
      <c r="D33" s="109"/>
      <c r="E33" s="109"/>
      <c r="F33" s="109"/>
      <c r="G33" s="147"/>
      <c r="H33" s="127"/>
      <c r="I33" s="127"/>
      <c r="J33" s="127"/>
      <c r="K33" s="147"/>
      <c r="L33" s="127"/>
      <c r="M33" s="127"/>
      <c r="N33" s="127"/>
      <c r="O33" s="127"/>
      <c r="P33" s="251"/>
      <c r="Q33" s="127"/>
      <c r="R33" s="127"/>
      <c r="S33" s="127"/>
      <c r="T33" s="127"/>
      <c r="U33" s="127"/>
      <c r="V33" s="127"/>
      <c r="W33" s="127"/>
      <c r="X33" s="127"/>
      <c r="Y33" s="127"/>
      <c r="Z33" s="180"/>
      <c r="AA33" s="109"/>
      <c r="AB33" s="147"/>
      <c r="AD33" s="91"/>
    </row>
    <row r="34" spans="2:30" s="48" customFormat="1" ht="15">
      <c r="B34" s="48" t="s">
        <v>23</v>
      </c>
      <c r="C34" s="109">
        <f>'(A) Gross Budget Summary'!C35</f>
        <v>75136554</v>
      </c>
      <c r="D34" s="109"/>
      <c r="E34" s="109">
        <f>-28690</f>
        <v>-28690</v>
      </c>
      <c r="F34" s="109"/>
      <c r="G34" s="147">
        <f>C34+E34</f>
        <v>75107864</v>
      </c>
      <c r="H34" s="127"/>
      <c r="I34" s="127">
        <v>-1729000</v>
      </c>
      <c r="J34" s="127"/>
      <c r="K34" s="147">
        <f>G34+I34</f>
        <v>73378864</v>
      </c>
      <c r="L34" s="127"/>
      <c r="M34" s="127">
        <v>0</v>
      </c>
      <c r="N34" s="127"/>
      <c r="O34" s="127">
        <v>0</v>
      </c>
      <c r="P34" s="251"/>
      <c r="Q34" s="127">
        <v>0</v>
      </c>
      <c r="R34" s="127"/>
      <c r="S34" s="127"/>
      <c r="T34" s="126"/>
      <c r="U34" s="127"/>
      <c r="V34" s="126"/>
      <c r="W34" s="127">
        <f>'(D) SUF revenue-SUG-FTES'!R33</f>
        <v>0</v>
      </c>
      <c r="X34" s="127">
        <v>0</v>
      </c>
      <c r="Y34" s="127"/>
      <c r="Z34" s="180">
        <f>E34+I34+M34+O34+Q34+S34+U34+W34+X34</f>
        <v>-1757690</v>
      </c>
      <c r="AA34" s="109"/>
      <c r="AB34" s="147">
        <f>C34+Z34</f>
        <v>73378864</v>
      </c>
      <c r="AD34" s="91"/>
    </row>
    <row r="35" spans="2:30" s="48" customFormat="1" ht="15">
      <c r="B35" s="48" t="s">
        <v>38</v>
      </c>
      <c r="C35" s="109">
        <f>'(A) Gross Budget Summary'!C36</f>
        <v>1531735</v>
      </c>
      <c r="D35" s="109"/>
      <c r="E35" s="109">
        <v>0</v>
      </c>
      <c r="F35" s="109"/>
      <c r="G35" s="147">
        <f>C35+E35</f>
        <v>1531735</v>
      </c>
      <c r="H35" s="127"/>
      <c r="I35" s="127">
        <v>0</v>
      </c>
      <c r="J35" s="127"/>
      <c r="K35" s="147">
        <f>G35+I35</f>
        <v>1531735</v>
      </c>
      <c r="L35" s="127"/>
      <c r="M35" s="127">
        <v>0</v>
      </c>
      <c r="N35" s="127"/>
      <c r="O35" s="127">
        <v>0</v>
      </c>
      <c r="P35" s="251"/>
      <c r="Q35" s="127">
        <v>0</v>
      </c>
      <c r="R35" s="127"/>
      <c r="S35" s="127"/>
      <c r="T35" s="126"/>
      <c r="U35" s="127">
        <v>0</v>
      </c>
      <c r="V35" s="126"/>
      <c r="W35" s="127">
        <f>'(D) SUF revenue-SUG-FTES'!R34</f>
        <v>-108000</v>
      </c>
      <c r="X35" s="127">
        <v>0</v>
      </c>
      <c r="Y35" s="127"/>
      <c r="Z35" s="180">
        <f>E35+I35+M35+O35+Q35+S35+U35+W35+X35</f>
        <v>-108000</v>
      </c>
      <c r="AA35" s="109"/>
      <c r="AB35" s="147">
        <f>C35+Z35</f>
        <v>1423735</v>
      </c>
      <c r="AD35" s="91"/>
    </row>
    <row r="36" spans="2:30" s="48" customFormat="1" ht="15">
      <c r="B36" s="48" t="s">
        <v>24</v>
      </c>
      <c r="C36" s="109">
        <f>'(A) Gross Budget Summary'!C37</f>
        <v>2660496</v>
      </c>
      <c r="D36" s="109"/>
      <c r="E36" s="109">
        <v>0</v>
      </c>
      <c r="F36" s="109"/>
      <c r="G36" s="147">
        <f>C36+E36</f>
        <v>2660496</v>
      </c>
      <c r="H36" s="127"/>
      <c r="I36" s="127">
        <v>0</v>
      </c>
      <c r="J36" s="127"/>
      <c r="K36" s="147">
        <f>G36+I36</f>
        <v>2660496</v>
      </c>
      <c r="L36" s="127"/>
      <c r="M36" s="127">
        <v>0</v>
      </c>
      <c r="N36" s="127"/>
      <c r="O36" s="127">
        <v>0</v>
      </c>
      <c r="P36" s="251"/>
      <c r="Q36" s="127">
        <v>0</v>
      </c>
      <c r="R36" s="127"/>
      <c r="S36" s="127"/>
      <c r="T36" s="126"/>
      <c r="U36" s="127">
        <v>0</v>
      </c>
      <c r="V36" s="126"/>
      <c r="W36" s="127">
        <f>'(D) SUF revenue-SUG-FTES'!R35</f>
        <v>-60000</v>
      </c>
      <c r="X36" s="127">
        <v>0</v>
      </c>
      <c r="Y36" s="127"/>
      <c r="Z36" s="180">
        <f>E36+I36+M36+O36+Q36+S36+U36+W36+X36</f>
        <v>-60000</v>
      </c>
      <c r="AA36" s="109"/>
      <c r="AB36" s="147">
        <f>C36+Z36</f>
        <v>2600496</v>
      </c>
      <c r="AD36" s="91"/>
    </row>
    <row r="37" spans="2:30" s="48" customFormat="1" ht="15">
      <c r="B37" s="48" t="s">
        <v>25</v>
      </c>
      <c r="C37" s="109">
        <f>'(A) Gross Budget Summary'!C38</f>
        <v>106800</v>
      </c>
      <c r="D37" s="109"/>
      <c r="E37" s="109">
        <v>0</v>
      </c>
      <c r="F37" s="109"/>
      <c r="G37" s="147">
        <f>C37+E37</f>
        <v>106800</v>
      </c>
      <c r="H37" s="127"/>
      <c r="I37" s="127">
        <v>0</v>
      </c>
      <c r="J37" s="127"/>
      <c r="K37" s="147">
        <f>G37+I37</f>
        <v>106800</v>
      </c>
      <c r="L37" s="127"/>
      <c r="M37" s="127">
        <v>0</v>
      </c>
      <c r="N37" s="127"/>
      <c r="O37" s="127">
        <v>0</v>
      </c>
      <c r="P37" s="251"/>
      <c r="Q37" s="127">
        <v>0</v>
      </c>
      <c r="R37" s="127"/>
      <c r="S37" s="127"/>
      <c r="T37" s="126"/>
      <c r="U37" s="127">
        <v>0</v>
      </c>
      <c r="V37" s="126"/>
      <c r="W37" s="127">
        <f>'(D) SUF revenue-SUG-FTES'!R36</f>
        <v>-8000</v>
      </c>
      <c r="X37" s="127">
        <v>0</v>
      </c>
      <c r="Y37" s="127"/>
      <c r="Z37" s="180">
        <f>E37+I37+M37+O37+Q37+S37+U37+W37+X37</f>
        <v>-8000</v>
      </c>
      <c r="AA37" s="109"/>
      <c r="AB37" s="147">
        <f>C37+Z37</f>
        <v>98800</v>
      </c>
      <c r="AD37" s="91"/>
    </row>
    <row r="38" spans="2:30" s="48" customFormat="1" ht="18">
      <c r="B38" s="48" t="s">
        <v>26</v>
      </c>
      <c r="C38" s="109">
        <f>'(A) Gross Budget Summary'!C39</f>
        <v>171166964</v>
      </c>
      <c r="D38" s="109"/>
      <c r="E38" s="109">
        <v>0</v>
      </c>
      <c r="F38" s="109"/>
      <c r="G38" s="147">
        <f>C38+E38</f>
        <v>171166964</v>
      </c>
      <c r="H38" s="127"/>
      <c r="I38" s="167">
        <v>-1924000</v>
      </c>
      <c r="J38" s="127"/>
      <c r="K38" s="147">
        <f>G38+I38</f>
        <v>169242964</v>
      </c>
      <c r="L38" s="127"/>
      <c r="M38" s="127">
        <v>0</v>
      </c>
      <c r="N38" s="127"/>
      <c r="O38" s="127">
        <v>0</v>
      </c>
      <c r="P38" s="252"/>
      <c r="Q38" s="127">
        <f>16000-16000+5511000+730000</f>
        <v>6241000</v>
      </c>
      <c r="R38" s="127"/>
      <c r="S38" s="127">
        <v>-242000</v>
      </c>
      <c r="T38" s="71"/>
      <c r="U38" s="127">
        <v>49574000</v>
      </c>
      <c r="V38" s="155"/>
      <c r="W38" s="127">
        <f>'(D) SUF revenue-SUG-FTES'!R37</f>
        <v>0</v>
      </c>
      <c r="X38" s="127"/>
      <c r="Y38" s="127"/>
      <c r="Z38" s="180">
        <f>E38+I38+M38+O38+Q38+S38+U38+W38+X38</f>
        <v>53649000</v>
      </c>
      <c r="AA38" s="109"/>
      <c r="AB38" s="147">
        <f>C38+Z38</f>
        <v>224815964</v>
      </c>
      <c r="AD38" s="91"/>
    </row>
    <row r="39" spans="3:30" s="48" customFormat="1" ht="9" customHeight="1">
      <c r="C39" s="109"/>
      <c r="D39" s="109"/>
      <c r="E39" s="109"/>
      <c r="F39" s="109"/>
      <c r="G39" s="147"/>
      <c r="H39" s="127"/>
      <c r="I39" s="127"/>
      <c r="J39" s="127"/>
      <c r="K39" s="147"/>
      <c r="L39" s="127"/>
      <c r="M39" s="127"/>
      <c r="N39" s="127"/>
      <c r="O39" s="127"/>
      <c r="P39" s="251"/>
      <c r="Q39" s="127"/>
      <c r="R39" s="127"/>
      <c r="S39" s="127"/>
      <c r="T39" s="127"/>
      <c r="U39" s="127"/>
      <c r="V39" s="127"/>
      <c r="W39" s="127"/>
      <c r="X39" s="127"/>
      <c r="Y39" s="127"/>
      <c r="Z39" s="180"/>
      <c r="AA39" s="109"/>
      <c r="AB39" s="147"/>
      <c r="AD39" s="91"/>
    </row>
    <row r="40" spans="2:28" s="145" customFormat="1" ht="18" customHeight="1" thickBot="1">
      <c r="B40" s="90" t="s">
        <v>27</v>
      </c>
      <c r="C40" s="137">
        <f>SUM(C32:C38)</f>
        <v>2970706000</v>
      </c>
      <c r="D40" s="137"/>
      <c r="E40" s="137">
        <f>SUM(E32:E38)</f>
        <v>-1350351</v>
      </c>
      <c r="F40" s="137"/>
      <c r="G40" s="149">
        <f>SUM(G32:G38)</f>
        <v>2969355649</v>
      </c>
      <c r="H40" s="137"/>
      <c r="I40" s="137">
        <f>SUM(I32:I38)</f>
        <v>-66303000</v>
      </c>
      <c r="J40" s="137"/>
      <c r="K40" s="149">
        <f>SUM(K32:K38)</f>
        <v>2903052649</v>
      </c>
      <c r="L40" s="137"/>
      <c r="M40" s="137">
        <f>SUM(M32:M38)</f>
        <v>-7497000</v>
      </c>
      <c r="N40" s="137"/>
      <c r="O40" s="137">
        <f>SUM(O32:O38)</f>
        <v>7497000</v>
      </c>
      <c r="P40" s="250"/>
      <c r="Q40" s="137">
        <f>SUM(Q32:Q38)</f>
        <v>6241000</v>
      </c>
      <c r="R40" s="137"/>
      <c r="S40" s="137">
        <f>SUM(S32:S38)</f>
        <v>-242000</v>
      </c>
      <c r="T40" s="137"/>
      <c r="U40" s="137">
        <f>SUM(U32:U38)</f>
        <v>49574000</v>
      </c>
      <c r="V40" s="137"/>
      <c r="W40" s="137">
        <f>SUM(W32:W38)</f>
        <v>-42510000</v>
      </c>
      <c r="X40" s="137">
        <f>SUM(X32:X38)</f>
        <v>42510000</v>
      </c>
      <c r="Y40" s="137"/>
      <c r="Z40" s="182">
        <f>SUM(Z32:Z38)</f>
        <v>-12080351</v>
      </c>
      <c r="AA40" s="137"/>
      <c r="AB40" s="149">
        <f>SUM(AB32:AB38)</f>
        <v>2958625649</v>
      </c>
    </row>
    <row r="41" spans="8:23" ht="12.75">
      <c r="H41" s="53"/>
      <c r="J41" s="53"/>
      <c r="K41" s="53"/>
      <c r="L41" s="53"/>
      <c r="M41" s="53"/>
      <c r="N41" s="53"/>
      <c r="O41" s="53"/>
      <c r="P41" s="53"/>
      <c r="Q41" s="53"/>
      <c r="R41" s="53"/>
      <c r="W41" s="132"/>
    </row>
    <row r="42" spans="1:28" ht="30.75" customHeight="1">
      <c r="A42" s="31">
        <v>1</v>
      </c>
      <c r="B42" s="333" t="s">
        <v>149</v>
      </c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</row>
    <row r="43" spans="1:28" ht="15.75">
      <c r="A43" s="31">
        <v>2</v>
      </c>
      <c r="B43" s="270" t="s">
        <v>132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</row>
    <row r="44" spans="1:28" ht="15.75">
      <c r="A44" s="31">
        <v>3</v>
      </c>
      <c r="B44" s="288" t="s">
        <v>142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</row>
    <row r="45" spans="1:28" ht="15.75">
      <c r="A45" s="31">
        <v>4</v>
      </c>
      <c r="B45" s="333" t="s">
        <v>111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</row>
    <row r="46" spans="1:30" ht="15.75">
      <c r="A46" s="31">
        <v>5</v>
      </c>
      <c r="B46" s="331" t="s">
        <v>193</v>
      </c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D46" s="157"/>
    </row>
    <row r="47" spans="1:28" ht="15.75">
      <c r="A47" s="31">
        <v>6</v>
      </c>
      <c r="B47" s="333" t="s">
        <v>164</v>
      </c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</row>
  </sheetData>
  <sheetProtection/>
  <mergeCells count="6">
    <mergeCell ref="W1:X2"/>
    <mergeCell ref="B46:AB46"/>
    <mergeCell ref="B45:AB45"/>
    <mergeCell ref="B42:AB42"/>
    <mergeCell ref="B47:AB47"/>
    <mergeCell ref="O6:P6"/>
  </mergeCells>
  <printOptions/>
  <pageMargins left="0.75" right="0.5" top="0.5" bottom="0.25" header="0.5" footer="0.5"/>
  <pageSetup fitToHeight="1" fitToWidth="1" horizontalDpi="600" verticalDpi="600" orientation="landscape" paperSize="5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0" sqref="J10"/>
    </sheetView>
  </sheetViews>
  <sheetFormatPr defaultColWidth="9.33203125" defaultRowHeight="12.75"/>
  <cols>
    <col min="1" max="1" width="25.83203125" style="40" customWidth="1"/>
    <col min="2" max="2" width="4.16015625" style="269" customWidth="1"/>
    <col min="3" max="3" width="15.16015625" style="2" bestFit="1" customWidth="1"/>
    <col min="4" max="5" width="14" style="2" bestFit="1" customWidth="1"/>
    <col min="6" max="6" width="14" style="2" customWidth="1"/>
    <col min="7" max="7" width="4.83203125" style="2" customWidth="1"/>
    <col min="8" max="8" width="16.16015625" style="48" bestFit="1" customWidth="1"/>
    <col min="9" max="9" width="16.16015625" style="48" customWidth="1"/>
    <col min="10" max="10" width="16.66015625" style="2" customWidth="1"/>
    <col min="11" max="11" width="3.66015625" style="2" customWidth="1"/>
    <col min="12" max="12" width="15.5" style="2" customWidth="1"/>
    <col min="13" max="13" width="4.83203125" style="2" customWidth="1"/>
    <col min="14" max="14" width="14.5" style="2" customWidth="1"/>
    <col min="15" max="15" width="2.33203125" style="2" bestFit="1" customWidth="1"/>
    <col min="16" max="16" width="14.5" style="48" customWidth="1"/>
    <col min="17" max="17" width="2.83203125" style="48" customWidth="1"/>
    <col min="18" max="18" width="14.83203125" style="48" customWidth="1"/>
    <col min="19" max="19" width="2.33203125" style="48" bestFit="1" customWidth="1"/>
    <col min="20" max="21" width="9.33203125" style="48" customWidth="1"/>
    <col min="22" max="22" width="9.33203125" style="29" customWidth="1"/>
    <col min="23" max="16384" width="9.33203125" style="2" customWidth="1"/>
  </cols>
  <sheetData>
    <row r="1" spans="1:2" ht="16.5">
      <c r="A1" s="151" t="s">
        <v>184</v>
      </c>
      <c r="B1" s="265"/>
    </row>
    <row r="2" spans="1:2" ht="15.75" customHeight="1">
      <c r="A2" s="255"/>
      <c r="B2" s="266"/>
    </row>
    <row r="3" spans="1:21" s="160" customFormat="1" ht="18" customHeight="1">
      <c r="A3" s="84"/>
      <c r="B3" s="84"/>
      <c r="C3" s="171">
        <v>-1</v>
      </c>
      <c r="D3" s="171">
        <v>-2</v>
      </c>
      <c r="E3" s="171">
        <v>-3</v>
      </c>
      <c r="F3" s="171">
        <v>-4</v>
      </c>
      <c r="G3" s="171"/>
      <c r="H3" s="171">
        <v>-5</v>
      </c>
      <c r="I3" s="171">
        <v>-6</v>
      </c>
      <c r="J3" s="171">
        <v>-7</v>
      </c>
      <c r="L3" s="171">
        <v>-8</v>
      </c>
      <c r="N3" s="171">
        <v>-9</v>
      </c>
      <c r="O3" s="281"/>
      <c r="P3" s="171">
        <v>-10</v>
      </c>
      <c r="Q3" s="281"/>
      <c r="R3" s="171">
        <v>-11</v>
      </c>
      <c r="U3" s="281"/>
    </row>
    <row r="4" spans="1:22" s="64" customFormat="1" ht="18.75" customHeight="1" thickBot="1">
      <c r="A4" s="83"/>
      <c r="B4" s="267"/>
      <c r="C4" s="336" t="s">
        <v>150</v>
      </c>
      <c r="D4" s="336"/>
      <c r="E4" s="336"/>
      <c r="F4" s="336"/>
      <c r="G4" s="172"/>
      <c r="H4" s="337" t="s">
        <v>106</v>
      </c>
      <c r="I4" s="337"/>
      <c r="J4" s="337"/>
      <c r="K4" s="337"/>
      <c r="L4" s="337"/>
      <c r="M4" s="80"/>
      <c r="N4" s="336" t="s">
        <v>178</v>
      </c>
      <c r="O4" s="336"/>
      <c r="P4" s="336"/>
      <c r="Q4" s="336"/>
      <c r="R4" s="336"/>
      <c r="S4" s="80"/>
      <c r="T4" s="80"/>
      <c r="U4" s="80"/>
      <c r="V4" s="46"/>
    </row>
    <row r="5" spans="1:22" s="65" customFormat="1" ht="64.5">
      <c r="A5" s="173"/>
      <c r="B5" s="267"/>
      <c r="C5" s="290" t="s">
        <v>36</v>
      </c>
      <c r="D5" s="290" t="s">
        <v>105</v>
      </c>
      <c r="E5" s="290" t="s">
        <v>37</v>
      </c>
      <c r="F5" s="290" t="s">
        <v>151</v>
      </c>
      <c r="G5" s="66"/>
      <c r="H5" s="170" t="s">
        <v>138</v>
      </c>
      <c r="I5" s="170" t="s">
        <v>130</v>
      </c>
      <c r="J5" s="170" t="s">
        <v>113</v>
      </c>
      <c r="K5" s="264">
        <v>1</v>
      </c>
      <c r="L5" s="170" t="s">
        <v>181</v>
      </c>
      <c r="N5" s="285" t="s">
        <v>139</v>
      </c>
      <c r="O5" s="286">
        <v>2</v>
      </c>
      <c r="P5" s="287" t="s">
        <v>179</v>
      </c>
      <c r="Q5" s="287"/>
      <c r="R5" s="285" t="s">
        <v>180</v>
      </c>
      <c r="S5" s="49"/>
      <c r="T5" s="282"/>
      <c r="U5" s="282"/>
      <c r="V5" s="278"/>
    </row>
    <row r="6" spans="1:22" s="67" customFormat="1" ht="15.75" customHeight="1">
      <c r="A6" s="85"/>
      <c r="B6" s="268"/>
      <c r="C6" s="77"/>
      <c r="D6" s="77"/>
      <c r="E6" s="77"/>
      <c r="F6" s="77"/>
      <c r="G6" s="77"/>
      <c r="H6" s="78" t="s">
        <v>161</v>
      </c>
      <c r="I6" s="261" t="s">
        <v>129</v>
      </c>
      <c r="J6" s="261" t="s">
        <v>176</v>
      </c>
      <c r="K6" s="81"/>
      <c r="L6" s="78" t="s">
        <v>162</v>
      </c>
      <c r="N6" s="70"/>
      <c r="O6" s="60"/>
      <c r="P6" s="283"/>
      <c r="Q6" s="283"/>
      <c r="R6" s="261"/>
      <c r="S6" s="283"/>
      <c r="T6" s="283"/>
      <c r="U6" s="283"/>
      <c r="V6" s="279"/>
    </row>
    <row r="7" spans="1:22" s="9" customFormat="1" ht="9" customHeight="1">
      <c r="A7" s="40"/>
      <c r="B7" s="269"/>
      <c r="C7" s="52"/>
      <c r="D7" s="52"/>
      <c r="E7" s="52"/>
      <c r="F7" s="52"/>
      <c r="G7" s="52"/>
      <c r="H7" s="165"/>
      <c r="I7" s="165"/>
      <c r="J7" s="158"/>
      <c r="K7" s="158"/>
      <c r="L7" s="159"/>
      <c r="N7" s="79"/>
      <c r="O7" s="60"/>
      <c r="P7" s="284"/>
      <c r="Q7" s="284"/>
      <c r="R7" s="284"/>
      <c r="S7" s="284"/>
      <c r="T7" s="284"/>
      <c r="U7" s="284"/>
      <c r="V7" s="30"/>
    </row>
    <row r="8" spans="1:22" s="10" customFormat="1" ht="15.75">
      <c r="A8" s="131" t="s">
        <v>0</v>
      </c>
      <c r="B8" s="126"/>
      <c r="C8" s="126">
        <v>185000</v>
      </c>
      <c r="D8" s="126">
        <v>59000</v>
      </c>
      <c r="E8" s="126">
        <v>250000</v>
      </c>
      <c r="F8" s="291">
        <v>129000</v>
      </c>
      <c r="G8" s="126"/>
      <c r="H8" s="166">
        <f>(C8+D8+E8+F8)</f>
        <v>623000</v>
      </c>
      <c r="I8" s="166">
        <f>-'(B) Base Budget Adjustments'!I8</f>
        <v>1409000</v>
      </c>
      <c r="J8" s="129">
        <f>'(D) SUF revenue-SUG-FTES'!T7</f>
        <v>1651000</v>
      </c>
      <c r="K8" s="129"/>
      <c r="L8" s="245">
        <f>J8-(H8+I8)</f>
        <v>-381000</v>
      </c>
      <c r="N8" s="126">
        <v>0</v>
      </c>
      <c r="O8" s="251"/>
      <c r="P8" s="145">
        <v>0</v>
      </c>
      <c r="Q8" s="145"/>
      <c r="R8" s="48">
        <f aca="true" t="shared" si="0" ref="R8:R13">N8-P8</f>
        <v>0</v>
      </c>
      <c r="S8" s="145"/>
      <c r="T8" s="145"/>
      <c r="U8" s="145"/>
      <c r="V8" s="280"/>
    </row>
    <row r="9" spans="1:18" ht="15.75">
      <c r="A9" s="109" t="s">
        <v>1</v>
      </c>
      <c r="B9" s="127"/>
      <c r="C9" s="127">
        <v>120000</v>
      </c>
      <c r="D9" s="130">
        <v>47000</v>
      </c>
      <c r="E9" s="127">
        <v>160000</v>
      </c>
      <c r="F9" s="292">
        <v>70000</v>
      </c>
      <c r="G9" s="127"/>
      <c r="H9" s="167">
        <f>(C9+D9+E9+F9)</f>
        <v>397000</v>
      </c>
      <c r="I9" s="167">
        <f>-'(B) Base Budget Adjustments'!I9</f>
        <v>990000</v>
      </c>
      <c r="J9" s="130">
        <f>'(D) SUF revenue-SUG-FTES'!T8</f>
        <v>608000</v>
      </c>
      <c r="K9" s="130"/>
      <c r="L9" s="245">
        <f>J9-(H9+I9)</f>
        <v>-779000</v>
      </c>
      <c r="N9" s="127">
        <v>729900</v>
      </c>
      <c r="O9" s="251"/>
      <c r="P9" s="48">
        <v>0</v>
      </c>
      <c r="R9" s="48">
        <f t="shared" si="0"/>
        <v>729900</v>
      </c>
    </row>
    <row r="10" spans="1:18" ht="15.75">
      <c r="A10" s="109" t="s">
        <v>2</v>
      </c>
      <c r="B10" s="127"/>
      <c r="C10" s="127">
        <v>423000</v>
      </c>
      <c r="D10" s="130">
        <v>129000</v>
      </c>
      <c r="E10" s="127">
        <v>533000</v>
      </c>
      <c r="F10" s="292">
        <v>296000</v>
      </c>
      <c r="G10" s="127"/>
      <c r="H10" s="167">
        <f aca="true" t="shared" si="1" ref="H10:H30">(C10+D10+E10+F10)</f>
        <v>1381000</v>
      </c>
      <c r="I10" s="167">
        <f>-'(B) Base Budget Adjustments'!I10</f>
        <v>2759000</v>
      </c>
      <c r="J10" s="130">
        <f>'(D) SUF revenue-SUG-FTES'!T9</f>
        <v>2412000</v>
      </c>
      <c r="K10" s="130"/>
      <c r="L10" s="245">
        <f aca="true" t="shared" si="2" ref="L10:L30">J10-(H10+I10)</f>
        <v>-1728000</v>
      </c>
      <c r="N10" s="127">
        <v>114200</v>
      </c>
      <c r="O10" s="251"/>
      <c r="P10" s="48">
        <v>0</v>
      </c>
      <c r="R10" s="48">
        <f t="shared" si="0"/>
        <v>114200</v>
      </c>
    </row>
    <row r="11" spans="1:18" ht="15.75">
      <c r="A11" s="109" t="s">
        <v>3</v>
      </c>
      <c r="B11" s="127"/>
      <c r="C11" s="127">
        <v>220000</v>
      </c>
      <c r="D11" s="130">
        <v>62000</v>
      </c>
      <c r="E11" s="127">
        <v>308000</v>
      </c>
      <c r="F11" s="292">
        <v>171000</v>
      </c>
      <c r="G11" s="127"/>
      <c r="H11" s="167">
        <f t="shared" si="1"/>
        <v>761000</v>
      </c>
      <c r="I11" s="167">
        <f>-'(B) Base Budget Adjustments'!I11</f>
        <v>1655000</v>
      </c>
      <c r="J11" s="130">
        <f>'(D) SUF revenue-SUG-FTES'!T10</f>
        <v>2522000</v>
      </c>
      <c r="K11" s="130"/>
      <c r="L11" s="245">
        <f t="shared" si="2"/>
        <v>106000</v>
      </c>
      <c r="N11" s="127">
        <v>1313300</v>
      </c>
      <c r="O11" s="251"/>
      <c r="P11" s="48">
        <f>L11</f>
        <v>106000</v>
      </c>
      <c r="R11" s="48">
        <f t="shared" si="0"/>
        <v>1207300</v>
      </c>
    </row>
    <row r="12" spans="1:18" ht="15.75">
      <c r="A12" s="109" t="s">
        <v>30</v>
      </c>
      <c r="B12" s="127"/>
      <c r="C12" s="127">
        <v>290000</v>
      </c>
      <c r="D12" s="130">
        <v>97000</v>
      </c>
      <c r="E12" s="127">
        <v>401000</v>
      </c>
      <c r="F12" s="292">
        <v>231000</v>
      </c>
      <c r="G12" s="127"/>
      <c r="H12" s="167">
        <f t="shared" si="1"/>
        <v>1019000</v>
      </c>
      <c r="I12" s="167">
        <f>-'(B) Base Budget Adjustments'!I12</f>
        <v>2065000</v>
      </c>
      <c r="J12" s="130">
        <f>'(D) SUF revenue-SUG-FTES'!T11</f>
        <v>3412000</v>
      </c>
      <c r="K12" s="130"/>
      <c r="L12" s="245">
        <f t="shared" si="2"/>
        <v>328000</v>
      </c>
      <c r="N12" s="127">
        <v>0</v>
      </c>
      <c r="O12" s="251"/>
      <c r="P12" s="48">
        <v>0</v>
      </c>
      <c r="R12" s="48">
        <f t="shared" si="0"/>
        <v>0</v>
      </c>
    </row>
    <row r="13" spans="1:18" ht="15.75">
      <c r="A13" s="109" t="s">
        <v>4</v>
      </c>
      <c r="B13" s="127"/>
      <c r="C13" s="127">
        <v>444000</v>
      </c>
      <c r="D13" s="130">
        <v>142000</v>
      </c>
      <c r="E13" s="127">
        <v>615000</v>
      </c>
      <c r="F13" s="292">
        <v>365000</v>
      </c>
      <c r="G13" s="127"/>
      <c r="H13" s="167">
        <f t="shared" si="1"/>
        <v>1566000</v>
      </c>
      <c r="I13" s="167">
        <f>-'(B) Base Budget Adjustments'!I13</f>
        <v>3533000</v>
      </c>
      <c r="J13" s="130">
        <f>'(D) SUF revenue-SUG-FTES'!T12</f>
        <v>5048000</v>
      </c>
      <c r="K13" s="130"/>
      <c r="L13" s="245">
        <f t="shared" si="2"/>
        <v>-51000</v>
      </c>
      <c r="N13" s="127">
        <v>715900</v>
      </c>
      <c r="O13" s="251"/>
      <c r="P13" s="48">
        <v>0</v>
      </c>
      <c r="R13" s="48">
        <f t="shared" si="0"/>
        <v>715900</v>
      </c>
    </row>
    <row r="14" spans="1:18" ht="15.75">
      <c r="A14" s="109" t="s">
        <v>5</v>
      </c>
      <c r="B14" s="127"/>
      <c r="C14" s="127">
        <v>600000</v>
      </c>
      <c r="D14" s="130">
        <v>202000</v>
      </c>
      <c r="E14" s="127">
        <v>815000</v>
      </c>
      <c r="F14" s="292">
        <v>528000</v>
      </c>
      <c r="G14" s="127"/>
      <c r="H14" s="167">
        <f t="shared" si="1"/>
        <v>2145000</v>
      </c>
      <c r="I14" s="167">
        <f>-'(B) Base Budget Adjustments'!I14</f>
        <v>4136000</v>
      </c>
      <c r="J14" s="130">
        <f>'(D) SUF revenue-SUG-FTES'!T13</f>
        <v>6248000</v>
      </c>
      <c r="K14" s="130"/>
      <c r="L14" s="245">
        <f t="shared" si="2"/>
        <v>-33000</v>
      </c>
      <c r="N14" s="127">
        <v>1949700</v>
      </c>
      <c r="O14" s="251"/>
      <c r="P14" s="48">
        <v>0</v>
      </c>
      <c r="R14" s="48">
        <f aca="true" t="shared" si="3" ref="R14:R30">N14-P14</f>
        <v>1949700</v>
      </c>
    </row>
    <row r="15" spans="1:18" ht="15.75">
      <c r="A15" s="109" t="s">
        <v>6</v>
      </c>
      <c r="B15" s="127"/>
      <c r="C15" s="127">
        <v>222000</v>
      </c>
      <c r="D15" s="130">
        <v>72000</v>
      </c>
      <c r="E15" s="127">
        <v>388000</v>
      </c>
      <c r="F15" s="292">
        <v>147000</v>
      </c>
      <c r="G15" s="127"/>
      <c r="H15" s="167">
        <f t="shared" si="1"/>
        <v>829000</v>
      </c>
      <c r="I15" s="167">
        <f>-'(B) Base Budget Adjustments'!I15</f>
        <v>1753000</v>
      </c>
      <c r="J15" s="130">
        <f>'(D) SUF revenue-SUG-FTES'!T14</f>
        <v>1759000</v>
      </c>
      <c r="K15" s="130"/>
      <c r="L15" s="245">
        <f t="shared" si="2"/>
        <v>-823000</v>
      </c>
      <c r="N15" s="127">
        <v>0</v>
      </c>
      <c r="O15" s="251"/>
      <c r="P15" s="48">
        <v>0</v>
      </c>
      <c r="R15" s="48">
        <f t="shared" si="3"/>
        <v>0</v>
      </c>
    </row>
    <row r="16" spans="1:18" ht="15.75">
      <c r="A16" s="109" t="s">
        <v>7</v>
      </c>
      <c r="B16" s="127"/>
      <c r="C16" s="127">
        <v>615000</v>
      </c>
      <c r="D16" s="130">
        <v>184000</v>
      </c>
      <c r="E16" s="127">
        <v>877000</v>
      </c>
      <c r="F16" s="292">
        <v>582000</v>
      </c>
      <c r="G16" s="127"/>
      <c r="H16" s="167">
        <f t="shared" si="1"/>
        <v>2258000</v>
      </c>
      <c r="I16" s="167">
        <f>-'(B) Base Budget Adjustments'!I16</f>
        <v>4713000</v>
      </c>
      <c r="J16" s="130">
        <f>'(D) SUF revenue-SUG-FTES'!T15</f>
        <v>7152000</v>
      </c>
      <c r="K16" s="130"/>
      <c r="L16" s="245">
        <f t="shared" si="2"/>
        <v>181000</v>
      </c>
      <c r="N16" s="127">
        <v>51000</v>
      </c>
      <c r="O16" s="251"/>
      <c r="P16" s="48">
        <f>N16</f>
        <v>51000</v>
      </c>
      <c r="R16" s="48">
        <f t="shared" si="3"/>
        <v>0</v>
      </c>
    </row>
    <row r="17" spans="1:18" ht="15.75">
      <c r="A17" s="109" t="s">
        <v>8</v>
      </c>
      <c r="B17" s="127"/>
      <c r="C17" s="127">
        <v>350000</v>
      </c>
      <c r="D17" s="130">
        <v>115000</v>
      </c>
      <c r="E17" s="127">
        <v>691000</v>
      </c>
      <c r="F17" s="292">
        <v>337000</v>
      </c>
      <c r="G17" s="127"/>
      <c r="H17" s="167">
        <f t="shared" si="1"/>
        <v>1493000</v>
      </c>
      <c r="I17" s="167">
        <f>-'(B) Base Budget Adjustments'!I17</f>
        <v>3062000</v>
      </c>
      <c r="J17" s="130">
        <f>'(D) SUF revenue-SUG-FTES'!T16</f>
        <v>5398000</v>
      </c>
      <c r="K17" s="130"/>
      <c r="L17" s="245">
        <f t="shared" si="2"/>
        <v>843000</v>
      </c>
      <c r="N17" s="127">
        <v>876800</v>
      </c>
      <c r="O17" s="251"/>
      <c r="P17" s="48">
        <f>L17</f>
        <v>843000</v>
      </c>
      <c r="R17" s="48">
        <f t="shared" si="3"/>
        <v>33800</v>
      </c>
    </row>
    <row r="18" spans="1:18" ht="15.75">
      <c r="A18" s="109" t="s">
        <v>9</v>
      </c>
      <c r="B18" s="127"/>
      <c r="C18" s="127">
        <v>44000</v>
      </c>
      <c r="D18" s="130">
        <v>16000</v>
      </c>
      <c r="E18" s="127">
        <v>121000</v>
      </c>
      <c r="F18" s="292">
        <v>28000</v>
      </c>
      <c r="G18" s="127"/>
      <c r="H18" s="167">
        <f t="shared" si="1"/>
        <v>209000</v>
      </c>
      <c r="I18" s="167">
        <f>-'(B) Base Budget Adjustments'!I18</f>
        <v>438000</v>
      </c>
      <c r="J18" s="130">
        <f>'(D) SUF revenue-SUG-FTES'!T17</f>
        <v>24000</v>
      </c>
      <c r="K18" s="130"/>
      <c r="L18" s="245">
        <f t="shared" si="2"/>
        <v>-623000</v>
      </c>
      <c r="N18" s="127">
        <v>0</v>
      </c>
      <c r="O18" s="251"/>
      <c r="P18" s="48">
        <v>0</v>
      </c>
      <c r="R18" s="48">
        <f t="shared" si="3"/>
        <v>0</v>
      </c>
    </row>
    <row r="19" spans="1:18" ht="15.75">
      <c r="A19" s="109" t="s">
        <v>10</v>
      </c>
      <c r="B19" s="127"/>
      <c r="C19" s="127">
        <v>133000</v>
      </c>
      <c r="D19" s="130">
        <v>43000</v>
      </c>
      <c r="E19" s="127">
        <v>222000</v>
      </c>
      <c r="F19" s="292">
        <v>79000</v>
      </c>
      <c r="G19" s="127"/>
      <c r="H19" s="167">
        <f t="shared" si="1"/>
        <v>477000</v>
      </c>
      <c r="I19" s="167">
        <f>-'(B) Base Budget Adjustments'!I19</f>
        <v>1220000</v>
      </c>
      <c r="J19" s="130">
        <f>'(D) SUF revenue-SUG-FTES'!T18</f>
        <v>674000</v>
      </c>
      <c r="K19" s="130"/>
      <c r="L19" s="245">
        <f t="shared" si="2"/>
        <v>-1023000</v>
      </c>
      <c r="N19" s="127">
        <v>32900</v>
      </c>
      <c r="O19" s="251"/>
      <c r="P19" s="48">
        <v>0</v>
      </c>
      <c r="R19" s="48">
        <f t="shared" si="3"/>
        <v>32900</v>
      </c>
    </row>
    <row r="20" spans="1:18" ht="15.75">
      <c r="A20" s="109" t="s">
        <v>11</v>
      </c>
      <c r="B20" s="127"/>
      <c r="C20" s="127">
        <v>579000</v>
      </c>
      <c r="D20" s="130">
        <v>182000</v>
      </c>
      <c r="E20" s="127">
        <v>842000</v>
      </c>
      <c r="F20" s="292">
        <v>508000</v>
      </c>
      <c r="G20" s="127"/>
      <c r="H20" s="167">
        <f t="shared" si="1"/>
        <v>2111000</v>
      </c>
      <c r="I20" s="167">
        <f>-'(B) Base Budget Adjustments'!I20</f>
        <v>4467000</v>
      </c>
      <c r="J20" s="130">
        <f>'(D) SUF revenue-SUG-FTES'!T19</f>
        <v>7332000</v>
      </c>
      <c r="K20" s="130"/>
      <c r="L20" s="245">
        <f t="shared" si="2"/>
        <v>754000</v>
      </c>
      <c r="N20" s="127">
        <v>2602600</v>
      </c>
      <c r="O20" s="251"/>
      <c r="P20" s="48">
        <f>L20</f>
        <v>754000</v>
      </c>
      <c r="R20" s="48">
        <f t="shared" si="3"/>
        <v>1848600</v>
      </c>
    </row>
    <row r="21" spans="1:18" ht="15.75">
      <c r="A21" s="109" t="s">
        <v>12</v>
      </c>
      <c r="B21" s="127"/>
      <c r="C21" s="127">
        <v>425000</v>
      </c>
      <c r="D21" s="130">
        <v>139000</v>
      </c>
      <c r="E21" s="127">
        <v>642000</v>
      </c>
      <c r="F21" s="292">
        <v>379000</v>
      </c>
      <c r="G21" s="127"/>
      <c r="H21" s="167">
        <f t="shared" si="1"/>
        <v>1585000</v>
      </c>
      <c r="I21" s="167">
        <f>-'(B) Base Budget Adjustments'!I21</f>
        <v>3357000</v>
      </c>
      <c r="J21" s="130">
        <f>'(D) SUF revenue-SUG-FTES'!T20</f>
        <v>5628000</v>
      </c>
      <c r="K21" s="130"/>
      <c r="L21" s="245">
        <f t="shared" si="2"/>
        <v>686000</v>
      </c>
      <c r="N21" s="127">
        <v>252600</v>
      </c>
      <c r="O21" s="251"/>
      <c r="P21" s="48">
        <f>N21</f>
        <v>252600</v>
      </c>
      <c r="R21" s="48">
        <f t="shared" si="3"/>
        <v>0</v>
      </c>
    </row>
    <row r="22" spans="1:18" ht="15.75">
      <c r="A22" s="109" t="s">
        <v>13</v>
      </c>
      <c r="B22" s="127"/>
      <c r="C22" s="127">
        <v>521000</v>
      </c>
      <c r="D22" s="130">
        <v>167000</v>
      </c>
      <c r="E22" s="127">
        <v>615000</v>
      </c>
      <c r="F22" s="292">
        <v>448000</v>
      </c>
      <c r="G22" s="127"/>
      <c r="H22" s="167">
        <f t="shared" si="1"/>
        <v>1751000</v>
      </c>
      <c r="I22" s="167">
        <f>-'(B) Base Budget Adjustments'!I22</f>
        <v>3881000</v>
      </c>
      <c r="J22" s="130">
        <f>'(D) SUF revenue-SUG-FTES'!T21</f>
        <v>5973000</v>
      </c>
      <c r="K22" s="130"/>
      <c r="L22" s="245">
        <f t="shared" si="2"/>
        <v>341000</v>
      </c>
      <c r="N22" s="127">
        <v>236700</v>
      </c>
      <c r="O22" s="251"/>
      <c r="P22" s="48">
        <f>N22</f>
        <v>236700</v>
      </c>
      <c r="R22" s="48">
        <f t="shared" si="3"/>
        <v>0</v>
      </c>
    </row>
    <row r="23" spans="1:18" ht="15.75">
      <c r="A23" s="109" t="s">
        <v>14</v>
      </c>
      <c r="B23" s="127"/>
      <c r="C23" s="127">
        <v>325000</v>
      </c>
      <c r="D23" s="130">
        <v>95000</v>
      </c>
      <c r="E23" s="127">
        <v>513000</v>
      </c>
      <c r="F23" s="292">
        <v>260000</v>
      </c>
      <c r="G23" s="127"/>
      <c r="H23" s="167">
        <f t="shared" si="1"/>
        <v>1193000</v>
      </c>
      <c r="I23" s="167">
        <f>-'(B) Base Budget Adjustments'!I23</f>
        <v>2449000</v>
      </c>
      <c r="J23" s="130">
        <f>'(D) SUF revenue-SUG-FTES'!T22</f>
        <v>3856000</v>
      </c>
      <c r="K23" s="130"/>
      <c r="L23" s="245">
        <f t="shared" si="2"/>
        <v>214000</v>
      </c>
      <c r="N23" s="127">
        <v>24100</v>
      </c>
      <c r="O23" s="251"/>
      <c r="P23" s="48">
        <f>N23</f>
        <v>24100</v>
      </c>
      <c r="R23" s="48">
        <f t="shared" si="3"/>
        <v>0</v>
      </c>
    </row>
    <row r="24" spans="1:18" ht="15.75">
      <c r="A24" s="109" t="s">
        <v>15</v>
      </c>
      <c r="B24" s="127"/>
      <c r="C24" s="127">
        <v>694000</v>
      </c>
      <c r="D24" s="130">
        <v>217000</v>
      </c>
      <c r="E24" s="127">
        <v>1002000</v>
      </c>
      <c r="F24" s="292">
        <v>595000</v>
      </c>
      <c r="G24" s="127"/>
      <c r="H24" s="167">
        <f t="shared" si="1"/>
        <v>2508000</v>
      </c>
      <c r="I24" s="167">
        <f>-'(B) Base Budget Adjustments'!I24</f>
        <v>5090000</v>
      </c>
      <c r="J24" s="130">
        <f>'(D) SUF revenue-SUG-FTES'!T23</f>
        <v>10229000</v>
      </c>
      <c r="K24" s="130"/>
      <c r="L24" s="245">
        <f t="shared" si="2"/>
        <v>2631000</v>
      </c>
      <c r="N24" s="127">
        <v>32600</v>
      </c>
      <c r="O24" s="251"/>
      <c r="P24" s="48">
        <f>N24</f>
        <v>32600</v>
      </c>
      <c r="R24" s="48">
        <f t="shared" si="3"/>
        <v>0</v>
      </c>
    </row>
    <row r="25" spans="1:18" ht="15.75">
      <c r="A25" s="109" t="s">
        <v>16</v>
      </c>
      <c r="B25" s="127"/>
      <c r="C25" s="127">
        <v>554000</v>
      </c>
      <c r="D25" s="130">
        <v>171000</v>
      </c>
      <c r="E25" s="127">
        <v>715000</v>
      </c>
      <c r="F25" s="292">
        <v>492000</v>
      </c>
      <c r="G25" s="127"/>
      <c r="H25" s="167">
        <f t="shared" si="1"/>
        <v>1932000</v>
      </c>
      <c r="I25" s="167">
        <f>-'(B) Base Budget Adjustments'!I25</f>
        <v>3928000</v>
      </c>
      <c r="J25" s="130">
        <f>'(D) SUF revenue-SUG-FTES'!T24</f>
        <v>6215000</v>
      </c>
      <c r="K25" s="130"/>
      <c r="L25" s="245">
        <f t="shared" si="2"/>
        <v>355000</v>
      </c>
      <c r="N25" s="127">
        <v>388100</v>
      </c>
      <c r="O25" s="251"/>
      <c r="P25" s="48">
        <f>L25</f>
        <v>355000</v>
      </c>
      <c r="R25" s="48">
        <f t="shared" si="3"/>
        <v>33100</v>
      </c>
    </row>
    <row r="26" spans="1:18" ht="15.75">
      <c r="A26" s="109" t="s">
        <v>17</v>
      </c>
      <c r="B26" s="127"/>
      <c r="C26" s="127">
        <v>530000</v>
      </c>
      <c r="D26" s="130">
        <v>180000</v>
      </c>
      <c r="E26" s="127">
        <v>902000</v>
      </c>
      <c r="F26" s="292">
        <v>490000</v>
      </c>
      <c r="G26" s="127"/>
      <c r="H26" s="167">
        <f t="shared" si="1"/>
        <v>2102000</v>
      </c>
      <c r="I26" s="167">
        <f>-'(B) Base Budget Adjustments'!I26</f>
        <v>3848000</v>
      </c>
      <c r="J26" s="130">
        <f>'(D) SUF revenue-SUG-FTES'!T25</f>
        <v>6747000</v>
      </c>
      <c r="K26" s="130"/>
      <c r="L26" s="245">
        <f t="shared" si="2"/>
        <v>797000</v>
      </c>
      <c r="N26" s="127">
        <v>0</v>
      </c>
      <c r="O26" s="251"/>
      <c r="P26" s="48">
        <v>0</v>
      </c>
      <c r="R26" s="48">
        <f t="shared" si="3"/>
        <v>0</v>
      </c>
    </row>
    <row r="27" spans="1:18" ht="15.75">
      <c r="A27" s="109" t="s">
        <v>18</v>
      </c>
      <c r="B27" s="127"/>
      <c r="C27" s="127">
        <v>481000</v>
      </c>
      <c r="D27" s="130">
        <v>158000</v>
      </c>
      <c r="E27" s="127">
        <v>734000</v>
      </c>
      <c r="F27" s="292">
        <v>422000</v>
      </c>
      <c r="G27" s="127"/>
      <c r="H27" s="167">
        <f t="shared" si="1"/>
        <v>1795000</v>
      </c>
      <c r="I27" s="167">
        <f>-'(B) Base Budget Adjustments'!I27</f>
        <v>3424000</v>
      </c>
      <c r="J27" s="130">
        <f>'(D) SUF revenue-SUG-FTES'!T26</f>
        <v>4376000</v>
      </c>
      <c r="K27" s="130"/>
      <c r="L27" s="245">
        <f t="shared" si="2"/>
        <v>-843000</v>
      </c>
      <c r="N27" s="127">
        <v>62900</v>
      </c>
      <c r="O27" s="251"/>
      <c r="P27" s="48">
        <v>0</v>
      </c>
      <c r="R27" s="48">
        <f t="shared" si="3"/>
        <v>62900</v>
      </c>
    </row>
    <row r="28" spans="1:18" ht="15.75">
      <c r="A28" s="109" t="s">
        <v>19</v>
      </c>
      <c r="B28" s="127"/>
      <c r="C28" s="127">
        <v>194000</v>
      </c>
      <c r="D28" s="130">
        <v>65000</v>
      </c>
      <c r="E28" s="127">
        <v>255000</v>
      </c>
      <c r="F28" s="292">
        <v>141000</v>
      </c>
      <c r="G28" s="127"/>
      <c r="H28" s="167">
        <f t="shared" si="1"/>
        <v>655000</v>
      </c>
      <c r="I28" s="167">
        <f>-'(B) Base Budget Adjustments'!I28</f>
        <v>1546000</v>
      </c>
      <c r="J28" s="130">
        <f>'(D) SUF revenue-SUG-FTES'!T27</f>
        <v>1700000</v>
      </c>
      <c r="K28" s="130"/>
      <c r="L28" s="245">
        <f t="shared" si="2"/>
        <v>-501000</v>
      </c>
      <c r="N28" s="127">
        <v>0</v>
      </c>
      <c r="O28" s="251"/>
      <c r="P28" s="48">
        <v>0</v>
      </c>
      <c r="R28" s="48">
        <f t="shared" si="3"/>
        <v>0</v>
      </c>
    </row>
    <row r="29" spans="1:18" ht="15.75">
      <c r="A29" s="109" t="s">
        <v>20</v>
      </c>
      <c r="B29" s="127"/>
      <c r="C29" s="127">
        <v>208000</v>
      </c>
      <c r="D29" s="130">
        <v>68000</v>
      </c>
      <c r="E29" s="127">
        <v>295000</v>
      </c>
      <c r="F29" s="292">
        <v>146000</v>
      </c>
      <c r="G29" s="127"/>
      <c r="H29" s="167">
        <f t="shared" si="1"/>
        <v>717000</v>
      </c>
      <c r="I29" s="167">
        <f>-'(B) Base Budget Adjustments'!I29</f>
        <v>1471000</v>
      </c>
      <c r="J29" s="130">
        <f>'(D) SUF revenue-SUG-FTES'!T28</f>
        <v>1624000</v>
      </c>
      <c r="K29" s="130"/>
      <c r="L29" s="245">
        <f t="shared" si="2"/>
        <v>-564000</v>
      </c>
      <c r="N29" s="127">
        <v>768700</v>
      </c>
      <c r="O29" s="251"/>
      <c r="P29" s="48">
        <v>0</v>
      </c>
      <c r="R29" s="48">
        <f t="shared" si="3"/>
        <v>768700</v>
      </c>
    </row>
    <row r="30" spans="1:18" ht="15.75">
      <c r="A30" s="109" t="s">
        <v>21</v>
      </c>
      <c r="B30" s="127"/>
      <c r="C30" s="127">
        <v>206000</v>
      </c>
      <c r="D30" s="130">
        <v>66000</v>
      </c>
      <c r="E30" s="127">
        <v>304000</v>
      </c>
      <c r="F30" s="292">
        <v>156000</v>
      </c>
      <c r="G30" s="127"/>
      <c r="H30" s="167">
        <f t="shared" si="1"/>
        <v>732000</v>
      </c>
      <c r="I30" s="167">
        <f>-'(B) Base Budget Adjustments'!I30</f>
        <v>1456000</v>
      </c>
      <c r="J30" s="130">
        <f>'(D) SUF revenue-SUG-FTES'!T29</f>
        <v>1598000</v>
      </c>
      <c r="K30" s="130"/>
      <c r="L30" s="245">
        <f t="shared" si="2"/>
        <v>-590000</v>
      </c>
      <c r="N30" s="127">
        <v>0</v>
      </c>
      <c r="O30" s="251"/>
      <c r="P30" s="48">
        <v>0</v>
      </c>
      <c r="R30" s="48">
        <f t="shared" si="3"/>
        <v>0</v>
      </c>
    </row>
    <row r="31" spans="1:15" ht="7.5" customHeight="1">
      <c r="A31" s="109"/>
      <c r="B31" s="127"/>
      <c r="C31" s="127"/>
      <c r="D31" s="127"/>
      <c r="E31" s="127"/>
      <c r="F31" s="127"/>
      <c r="G31" s="127"/>
      <c r="H31" s="169"/>
      <c r="I31" s="169"/>
      <c r="J31" s="127"/>
      <c r="K31" s="127"/>
      <c r="L31" s="168"/>
      <c r="N31" s="127"/>
      <c r="O31" s="251"/>
    </row>
    <row r="32" spans="1:18" ht="18" customHeight="1">
      <c r="A32" s="135" t="s">
        <v>22</v>
      </c>
      <c r="B32" s="127"/>
      <c r="C32" s="124">
        <f aca="true" t="shared" si="4" ref="C32:L32">SUM(C8:C31)</f>
        <v>8363000</v>
      </c>
      <c r="D32" s="124">
        <f t="shared" si="4"/>
        <v>2676000</v>
      </c>
      <c r="E32" s="124">
        <f t="shared" si="4"/>
        <v>12200000</v>
      </c>
      <c r="F32" s="124">
        <f t="shared" si="4"/>
        <v>7000000</v>
      </c>
      <c r="G32" s="126"/>
      <c r="H32" s="124">
        <f t="shared" si="4"/>
        <v>30239000</v>
      </c>
      <c r="I32" s="124">
        <f t="shared" si="4"/>
        <v>62650000</v>
      </c>
      <c r="J32" s="124">
        <f t="shared" si="4"/>
        <v>92186000</v>
      </c>
      <c r="K32" s="124"/>
      <c r="L32" s="263">
        <f t="shared" si="4"/>
        <v>-703000</v>
      </c>
      <c r="N32" s="124">
        <f>SUM(N8:N31)</f>
        <v>10152000</v>
      </c>
      <c r="O32" s="251"/>
      <c r="P32" s="124">
        <f>SUM(P8:P31)</f>
        <v>2655000</v>
      </c>
      <c r="R32" s="124">
        <f>SUM(R8:R31)</f>
        <v>7497000</v>
      </c>
    </row>
    <row r="33" spans="1:15" ht="15.75">
      <c r="A33" s="109"/>
      <c r="B33" s="127"/>
      <c r="C33" s="127"/>
      <c r="D33" s="127"/>
      <c r="E33" s="127"/>
      <c r="F33" s="127"/>
      <c r="G33" s="127"/>
      <c r="H33" s="169"/>
      <c r="I33" s="169"/>
      <c r="J33" s="109"/>
      <c r="K33" s="109"/>
      <c r="L33" s="143"/>
      <c r="N33" s="127"/>
      <c r="O33" s="251"/>
    </row>
    <row r="34" spans="1:18" ht="15.75">
      <c r="A34" s="109" t="s">
        <v>23</v>
      </c>
      <c r="B34" s="127"/>
      <c r="C34" s="127">
        <v>121000</v>
      </c>
      <c r="D34" s="127">
        <v>37000</v>
      </c>
      <c r="E34" s="127">
        <v>0</v>
      </c>
      <c r="F34" s="127">
        <v>0</v>
      </c>
      <c r="G34" s="127"/>
      <c r="H34" s="167">
        <f>(C34+D34+E34+F34)</f>
        <v>158000</v>
      </c>
      <c r="I34" s="167">
        <f>-'(B) Base Budget Adjustments'!I34</f>
        <v>1729000</v>
      </c>
      <c r="J34" s="130">
        <f>'(D) SUF revenue-SUG-FTES'!T33</f>
        <v>0</v>
      </c>
      <c r="K34" s="130"/>
      <c r="L34" s="245">
        <f>J34-(H34+I34)</f>
        <v>-1887000</v>
      </c>
      <c r="N34" s="127">
        <v>0</v>
      </c>
      <c r="O34" s="251"/>
      <c r="P34" s="48">
        <v>0</v>
      </c>
      <c r="R34" s="48">
        <f>N34-P34</f>
        <v>0</v>
      </c>
    </row>
    <row r="35" spans="1:18" ht="15.75">
      <c r="A35" s="109" t="s">
        <v>38</v>
      </c>
      <c r="B35" s="127"/>
      <c r="C35" s="127">
        <v>0</v>
      </c>
      <c r="D35" s="127">
        <v>0</v>
      </c>
      <c r="E35" s="127">
        <v>0</v>
      </c>
      <c r="F35" s="127">
        <v>0</v>
      </c>
      <c r="G35" s="127"/>
      <c r="H35" s="167">
        <f>(C35+D35+E35+F35)</f>
        <v>0</v>
      </c>
      <c r="I35" s="167">
        <f>-'(B) Base Budget Adjustments'!I35</f>
        <v>0</v>
      </c>
      <c r="J35" s="130">
        <f>'(D) SUF revenue-SUG-FTES'!T34</f>
        <v>233000</v>
      </c>
      <c r="K35" s="130"/>
      <c r="L35" s="245">
        <f>J35-(H35+I35)</f>
        <v>233000</v>
      </c>
      <c r="N35" s="127">
        <v>0</v>
      </c>
      <c r="O35" s="251"/>
      <c r="P35" s="48">
        <v>0</v>
      </c>
      <c r="R35" s="48">
        <f>N35-P35</f>
        <v>0</v>
      </c>
    </row>
    <row r="36" spans="1:18" ht="15.75">
      <c r="A36" s="109" t="s">
        <v>24</v>
      </c>
      <c r="B36" s="127"/>
      <c r="C36" s="127">
        <v>0</v>
      </c>
      <c r="D36" s="127">
        <v>0</v>
      </c>
      <c r="E36" s="127">
        <v>0</v>
      </c>
      <c r="F36" s="127">
        <v>0</v>
      </c>
      <c r="G36" s="127"/>
      <c r="H36" s="167">
        <f>(C36+D36+E36+F36)</f>
        <v>0</v>
      </c>
      <c r="I36" s="167">
        <f>-'(B) Base Budget Adjustments'!I36</f>
        <v>0</v>
      </c>
      <c r="J36" s="130">
        <f>'(D) SUF revenue-SUG-FTES'!T35</f>
        <v>28000</v>
      </c>
      <c r="K36" s="130"/>
      <c r="L36" s="245">
        <f>J36-(H36+I36)</f>
        <v>28000</v>
      </c>
      <c r="N36" s="127">
        <v>0</v>
      </c>
      <c r="O36" s="251"/>
      <c r="P36" s="48">
        <v>0</v>
      </c>
      <c r="R36" s="48">
        <f>N36-P36</f>
        <v>0</v>
      </c>
    </row>
    <row r="37" spans="1:18" ht="15.75">
      <c r="A37" s="109" t="s">
        <v>25</v>
      </c>
      <c r="B37" s="127"/>
      <c r="C37" s="127">
        <v>0</v>
      </c>
      <c r="D37" s="127">
        <v>0</v>
      </c>
      <c r="E37" s="127">
        <v>0</v>
      </c>
      <c r="F37" s="127">
        <v>0</v>
      </c>
      <c r="G37" s="127"/>
      <c r="H37" s="167">
        <f>(C37+D37+E37+F37)</f>
        <v>0</v>
      </c>
      <c r="I37" s="167">
        <f>-'(B) Base Budget Adjustments'!I37</f>
        <v>0</v>
      </c>
      <c r="J37" s="130">
        <f>'(D) SUF revenue-SUG-FTES'!T36</f>
        <v>-48000</v>
      </c>
      <c r="K37" s="130"/>
      <c r="L37" s="245">
        <f>J37-(H37+I37)</f>
        <v>-48000</v>
      </c>
      <c r="N37" s="127">
        <v>0</v>
      </c>
      <c r="O37" s="251"/>
      <c r="P37" s="48">
        <v>0</v>
      </c>
      <c r="R37" s="48">
        <f>N37-P37</f>
        <v>0</v>
      </c>
    </row>
    <row r="38" spans="1:18" ht="15.75">
      <c r="A38" s="109" t="s">
        <v>26</v>
      </c>
      <c r="B38" s="127"/>
      <c r="C38" s="127">
        <v>0</v>
      </c>
      <c r="D38" s="127">
        <v>0</v>
      </c>
      <c r="E38" s="127">
        <v>0</v>
      </c>
      <c r="F38" s="127">
        <v>0</v>
      </c>
      <c r="G38" s="127"/>
      <c r="H38" s="167">
        <f>(C38+D38+E38+F38)</f>
        <v>0</v>
      </c>
      <c r="I38" s="167">
        <f>-'(B) Base Budget Adjustments'!I38</f>
        <v>1924000</v>
      </c>
      <c r="J38" s="130">
        <f>'(D) SUF revenue-SUG-FTES'!T37</f>
        <v>0</v>
      </c>
      <c r="K38" s="130"/>
      <c r="L38" s="245">
        <f>J38-(H38+I38)</f>
        <v>-1924000</v>
      </c>
      <c r="N38" s="127">
        <v>0</v>
      </c>
      <c r="O38" s="252"/>
      <c r="P38" s="48">
        <v>0</v>
      </c>
      <c r="R38" s="48">
        <f>N38-P38</f>
        <v>0</v>
      </c>
    </row>
    <row r="39" spans="1:15" ht="7.5" customHeight="1">
      <c r="A39" s="109"/>
      <c r="B39" s="127"/>
      <c r="C39" s="127"/>
      <c r="D39" s="127"/>
      <c r="E39" s="127"/>
      <c r="F39" s="127"/>
      <c r="G39" s="127"/>
      <c r="H39" s="169"/>
      <c r="I39" s="169"/>
      <c r="J39" s="109"/>
      <c r="K39" s="109"/>
      <c r="L39" s="143"/>
      <c r="N39" s="127"/>
      <c r="O39" s="251"/>
    </row>
    <row r="40" spans="1:18" ht="18" customHeight="1" thickBot="1">
      <c r="A40" s="136" t="s">
        <v>27</v>
      </c>
      <c r="B40" s="127"/>
      <c r="C40" s="137">
        <f aca="true" t="shared" si="5" ref="C40:L40">SUM(C32:C38)</f>
        <v>8484000</v>
      </c>
      <c r="D40" s="137">
        <f t="shared" si="5"/>
        <v>2713000</v>
      </c>
      <c r="E40" s="137">
        <f t="shared" si="5"/>
        <v>12200000</v>
      </c>
      <c r="F40" s="137">
        <f t="shared" si="5"/>
        <v>7000000</v>
      </c>
      <c r="G40" s="126"/>
      <c r="H40" s="137">
        <f t="shared" si="5"/>
        <v>30397000</v>
      </c>
      <c r="I40" s="137">
        <f t="shared" si="5"/>
        <v>66303000</v>
      </c>
      <c r="J40" s="137">
        <f>SUM(J32:J38)</f>
        <v>92399000</v>
      </c>
      <c r="K40" s="137"/>
      <c r="L40" s="262">
        <f t="shared" si="5"/>
        <v>-4301000</v>
      </c>
      <c r="N40" s="137">
        <f>SUM(N32:N38)</f>
        <v>10152000</v>
      </c>
      <c r="O40" s="251"/>
      <c r="P40" s="137">
        <f>SUM(P32:P38)</f>
        <v>2655000</v>
      </c>
      <c r="R40" s="137">
        <f>SUM(R32:R38)</f>
        <v>7497000</v>
      </c>
    </row>
    <row r="41" spans="1:12" ht="18" customHeight="1">
      <c r="A41" s="86"/>
      <c r="B41" s="86"/>
      <c r="C41" s="68"/>
      <c r="D41" s="68"/>
      <c r="H41" s="82"/>
      <c r="I41" s="82"/>
      <c r="J41" s="62"/>
      <c r="K41" s="62"/>
      <c r="L41" s="62"/>
    </row>
    <row r="42" spans="1:16" ht="18" customHeight="1">
      <c r="A42" s="338" t="s">
        <v>159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</row>
    <row r="43" spans="1:4" ht="18">
      <c r="A43" s="109" t="s">
        <v>160</v>
      </c>
      <c r="B43" s="63"/>
      <c r="C43" s="48"/>
      <c r="D43" s="48"/>
    </row>
    <row r="44" spans="3:4" ht="15.75">
      <c r="C44" s="48"/>
      <c r="D44" s="48"/>
    </row>
    <row r="45" spans="3:4" ht="15.75">
      <c r="C45" s="48"/>
      <c r="D45" s="48"/>
    </row>
    <row r="46" spans="3:4" ht="15.75">
      <c r="C46" s="48"/>
      <c r="D46" s="48"/>
    </row>
  </sheetData>
  <sheetProtection/>
  <mergeCells count="4">
    <mergeCell ref="N4:R4"/>
    <mergeCell ref="H4:L4"/>
    <mergeCell ref="C4:F4"/>
    <mergeCell ref="A42:P42"/>
  </mergeCells>
  <printOptions/>
  <pageMargins left="1" right="0.25" top="0.5" bottom="0.25" header="0.5" footer="0.5"/>
  <pageSetup fitToWidth="2" fitToHeight="1" horizontalDpi="600" verticalDpi="600" orientation="landscape" paperSize="5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">
      <pane xSplit="1" ySplit="5" topLeftCell="J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12" sqref="V12"/>
    </sheetView>
  </sheetViews>
  <sheetFormatPr defaultColWidth="9.33203125" defaultRowHeight="12.75"/>
  <cols>
    <col min="1" max="1" width="24.16015625" style="14" customWidth="1"/>
    <col min="2" max="2" width="13.5" style="14" customWidth="1"/>
    <col min="3" max="3" width="16.33203125" style="92" bestFit="1" customWidth="1"/>
    <col min="4" max="4" width="14.33203125" style="1" customWidth="1"/>
    <col min="5" max="5" width="16" style="1" customWidth="1"/>
    <col min="6" max="6" width="16.83203125" style="1" customWidth="1"/>
    <col min="7" max="7" width="3.83203125" style="1" customWidth="1"/>
    <col min="8" max="8" width="11.33203125" style="1" customWidth="1"/>
    <col min="9" max="10" width="13.5" style="1" customWidth="1"/>
    <col min="11" max="11" width="19.5" style="1" customWidth="1"/>
    <col min="12" max="12" width="16.66015625" style="14" customWidth="1"/>
    <col min="13" max="13" width="3.83203125" style="36" customWidth="1"/>
    <col min="14" max="14" width="13" style="14" bestFit="1" customWidth="1"/>
    <col min="15" max="15" width="2" style="36" customWidth="1"/>
    <col min="16" max="16" width="18.5" style="14" customWidth="1"/>
    <col min="17" max="17" width="1.83203125" style="14" customWidth="1"/>
    <col min="18" max="18" width="14.5" style="14" bestFit="1" customWidth="1"/>
    <col min="19" max="19" width="1.83203125" style="14" customWidth="1"/>
    <col min="20" max="20" width="14.5" style="14" bestFit="1" customWidth="1"/>
    <col min="21" max="16384" width="9.33203125" style="14" customWidth="1"/>
  </cols>
  <sheetData>
    <row r="1" spans="1:7" ht="15.75" customHeight="1">
      <c r="A1" s="152" t="s">
        <v>156</v>
      </c>
      <c r="B1" s="46"/>
      <c r="F1" s="47"/>
      <c r="G1" s="47"/>
    </row>
    <row r="2" spans="1:14" ht="15.75" customHeight="1">
      <c r="A2" s="255"/>
      <c r="B2" s="3"/>
      <c r="C2" s="106"/>
      <c r="D2" s="42"/>
      <c r="E2" s="42"/>
      <c r="F2" s="42"/>
      <c r="G2" s="42"/>
      <c r="H2" s="42"/>
      <c r="I2" s="42"/>
      <c r="J2" s="42"/>
      <c r="K2" s="42"/>
      <c r="L2" s="36"/>
      <c r="N2" s="36"/>
    </row>
    <row r="3" spans="1:21" s="6" customFormat="1" ht="15.75" customHeight="1">
      <c r="A3" s="41"/>
      <c r="B3" s="98">
        <v>-1</v>
      </c>
      <c r="C3" s="98">
        <v>-2</v>
      </c>
      <c r="D3" s="98">
        <v>-3</v>
      </c>
      <c r="E3" s="98">
        <v>-4</v>
      </c>
      <c r="F3" s="98">
        <v>-5</v>
      </c>
      <c r="G3" s="98"/>
      <c r="H3" s="98">
        <v>-6</v>
      </c>
      <c r="I3" s="98">
        <v>-7</v>
      </c>
      <c r="J3" s="98">
        <v>-8</v>
      </c>
      <c r="K3" s="98">
        <v>-9</v>
      </c>
      <c r="L3" s="98">
        <v>-10</v>
      </c>
      <c r="N3" s="33">
        <v>-11</v>
      </c>
      <c r="O3" s="33"/>
      <c r="P3" s="33">
        <v>-12</v>
      </c>
      <c r="Q3" s="33"/>
      <c r="R3" s="33">
        <v>-13</v>
      </c>
      <c r="S3" s="33"/>
      <c r="T3" s="33">
        <v>-14</v>
      </c>
      <c r="U3" s="33"/>
    </row>
    <row r="4" spans="1:20" s="48" customFormat="1" ht="15">
      <c r="A4" s="101"/>
      <c r="B4" s="339" t="s">
        <v>43</v>
      </c>
      <c r="C4" s="339"/>
      <c r="D4" s="339"/>
      <c r="E4" s="339"/>
      <c r="F4" s="339"/>
      <c r="G4" s="103"/>
      <c r="H4" s="102"/>
      <c r="I4" s="104" t="s">
        <v>44</v>
      </c>
      <c r="J4" s="104"/>
      <c r="K4" s="104"/>
      <c r="L4" s="104"/>
      <c r="M4" s="101"/>
      <c r="N4" s="339" t="s">
        <v>155</v>
      </c>
      <c r="O4" s="339"/>
      <c r="P4" s="339"/>
      <c r="Q4" s="339"/>
      <c r="R4" s="339"/>
      <c r="S4" s="339"/>
      <c r="T4" s="339"/>
    </row>
    <row r="5" spans="1:20" ht="81.75" customHeight="1">
      <c r="A5" s="37"/>
      <c r="B5" s="51" t="s">
        <v>165</v>
      </c>
      <c r="C5" s="54" t="s">
        <v>120</v>
      </c>
      <c r="D5" s="54" t="s">
        <v>100</v>
      </c>
      <c r="E5" s="54" t="s">
        <v>126</v>
      </c>
      <c r="F5" s="54" t="s">
        <v>98</v>
      </c>
      <c r="G5" s="54"/>
      <c r="H5" s="34" t="s">
        <v>125</v>
      </c>
      <c r="I5" s="54" t="s">
        <v>120</v>
      </c>
      <c r="J5" s="54" t="s">
        <v>100</v>
      </c>
      <c r="K5" s="54" t="s">
        <v>128</v>
      </c>
      <c r="L5" s="54" t="s">
        <v>99</v>
      </c>
      <c r="M5" s="54"/>
      <c r="N5" s="34" t="s">
        <v>123</v>
      </c>
      <c r="O5" s="44"/>
      <c r="P5" s="54" t="s">
        <v>121</v>
      </c>
      <c r="R5" s="54" t="s">
        <v>124</v>
      </c>
      <c r="T5" s="54" t="s">
        <v>122</v>
      </c>
    </row>
    <row r="6" spans="1:20" s="97" customFormat="1" ht="15">
      <c r="A6" s="95"/>
      <c r="B6" s="95"/>
      <c r="C6" s="125"/>
      <c r="D6" s="95"/>
      <c r="E6" s="95"/>
      <c r="F6" s="96" t="s">
        <v>169</v>
      </c>
      <c r="G6" s="96"/>
      <c r="H6" s="95"/>
      <c r="I6" s="95"/>
      <c r="J6" s="95"/>
      <c r="K6" s="95"/>
      <c r="L6" s="96" t="s">
        <v>168</v>
      </c>
      <c r="M6" s="95"/>
      <c r="N6" s="95" t="s">
        <v>170</v>
      </c>
      <c r="O6" s="95"/>
      <c r="P6" s="95" t="s">
        <v>171</v>
      </c>
      <c r="R6" s="95" t="s">
        <v>172</v>
      </c>
      <c r="T6" s="107" t="s">
        <v>173</v>
      </c>
    </row>
    <row r="7" spans="1:22" ht="15">
      <c r="A7" s="87" t="s">
        <v>0</v>
      </c>
      <c r="B7" s="127">
        <v>6885</v>
      </c>
      <c r="C7" s="126">
        <v>2323000</v>
      </c>
      <c r="D7" s="129">
        <f>-ROUND(C7/3/1000,0)*1000</f>
        <v>-774000</v>
      </c>
      <c r="E7" s="257">
        <v>60000</v>
      </c>
      <c r="F7" s="126">
        <f aca="true" t="shared" si="0" ref="F7:F29">SUM(C7:E7)</f>
        <v>1609000</v>
      </c>
      <c r="G7" s="126"/>
      <c r="H7" s="109">
        <v>88</v>
      </c>
      <c r="I7" s="129">
        <v>29000</v>
      </c>
      <c r="J7" s="129">
        <f>-ROUND(I7/3/1000,0)*1000</f>
        <v>-10000</v>
      </c>
      <c r="K7" s="129">
        <v>23000</v>
      </c>
      <c r="L7" s="126">
        <f>SUM(I7:K7)</f>
        <v>42000</v>
      </c>
      <c r="M7" s="128"/>
      <c r="N7" s="130">
        <f aca="true" t="shared" si="1" ref="N7:N29">B7+H7</f>
        <v>6973</v>
      </c>
      <c r="O7" s="129"/>
      <c r="P7" s="131">
        <f>C7+I7+E7+K7</f>
        <v>2435000</v>
      </c>
      <c r="Q7" s="131"/>
      <c r="R7" s="131">
        <f aca="true" t="shared" si="2" ref="R7:R29">D7+J7</f>
        <v>-784000</v>
      </c>
      <c r="S7" s="109"/>
      <c r="T7" s="126">
        <f>SUM(P7:R7)</f>
        <v>1651000</v>
      </c>
      <c r="U7" s="132"/>
      <c r="V7" s="132"/>
    </row>
    <row r="8" spans="1:22" ht="15">
      <c r="A8" s="88" t="s">
        <v>1</v>
      </c>
      <c r="B8" s="127">
        <v>2467</v>
      </c>
      <c r="C8" s="127">
        <v>845000</v>
      </c>
      <c r="D8" s="130">
        <f>-ROUND(C8/3/1000,0)*1000</f>
        <v>-282000</v>
      </c>
      <c r="E8" s="258">
        <v>9000</v>
      </c>
      <c r="F8" s="127">
        <f t="shared" si="0"/>
        <v>572000</v>
      </c>
      <c r="G8" s="127"/>
      <c r="H8" s="109">
        <v>8</v>
      </c>
      <c r="I8" s="130">
        <v>3000</v>
      </c>
      <c r="J8" s="130">
        <f>-ROUND(I8/3/1000,0)*1000</f>
        <v>-1000</v>
      </c>
      <c r="K8" s="130">
        <v>34000</v>
      </c>
      <c r="L8" s="127">
        <f aca="true" t="shared" si="3" ref="L8:L28">SUM(I8:K8)</f>
        <v>36000</v>
      </c>
      <c r="M8" s="128"/>
      <c r="N8" s="130">
        <f t="shared" si="1"/>
        <v>2475</v>
      </c>
      <c r="O8" s="130"/>
      <c r="P8" s="109">
        <f>C8+I8+E8+K8</f>
        <v>891000</v>
      </c>
      <c r="Q8" s="109"/>
      <c r="R8" s="109">
        <f t="shared" si="2"/>
        <v>-283000</v>
      </c>
      <c r="S8" s="109"/>
      <c r="T8" s="127">
        <f>SUM(P8:R8)</f>
        <v>608000</v>
      </c>
      <c r="U8" s="132"/>
      <c r="V8" s="132"/>
    </row>
    <row r="9" spans="1:22" ht="15">
      <c r="A9" s="88" t="s">
        <v>2</v>
      </c>
      <c r="B9" s="127">
        <v>14712</v>
      </c>
      <c r="C9" s="127">
        <v>4683000</v>
      </c>
      <c r="D9" s="130">
        <f aca="true" t="shared" si="4" ref="D9:D29">-ROUND(C9/3/1000,0)*1000</f>
        <v>-1561000</v>
      </c>
      <c r="E9" s="258">
        <v>-1061000</v>
      </c>
      <c r="F9" s="127">
        <f t="shared" si="0"/>
        <v>2061000</v>
      </c>
      <c r="G9" s="127"/>
      <c r="H9" s="109">
        <v>492</v>
      </c>
      <c r="I9" s="130">
        <v>178000</v>
      </c>
      <c r="J9" s="130">
        <f aca="true" t="shared" si="5" ref="J9:J29">-ROUND(I9/3/1000,0)*1000</f>
        <v>-59000</v>
      </c>
      <c r="K9" s="130">
        <v>232000</v>
      </c>
      <c r="L9" s="127">
        <f>SUM(I9:K9)</f>
        <v>351000</v>
      </c>
      <c r="M9" s="128"/>
      <c r="N9" s="130">
        <f t="shared" si="1"/>
        <v>15204</v>
      </c>
      <c r="O9" s="130"/>
      <c r="P9" s="109">
        <f aca="true" t="shared" si="6" ref="P9:P29">C9+I9+E9+K9</f>
        <v>4032000</v>
      </c>
      <c r="Q9" s="109"/>
      <c r="R9" s="109">
        <f t="shared" si="2"/>
        <v>-1620000</v>
      </c>
      <c r="S9" s="109"/>
      <c r="T9" s="127">
        <f>SUM(P9:R9)</f>
        <v>2412000</v>
      </c>
      <c r="U9" s="132"/>
      <c r="V9" s="132"/>
    </row>
    <row r="10" spans="1:22" ht="15">
      <c r="A10" s="88" t="s">
        <v>3</v>
      </c>
      <c r="B10" s="127">
        <v>9349</v>
      </c>
      <c r="C10" s="127">
        <v>3642000</v>
      </c>
      <c r="D10" s="130">
        <f t="shared" si="4"/>
        <v>-1214000</v>
      </c>
      <c r="E10" s="258">
        <v>109000</v>
      </c>
      <c r="F10" s="127">
        <f t="shared" si="0"/>
        <v>2537000</v>
      </c>
      <c r="G10" s="127"/>
      <c r="H10" s="109">
        <v>100</v>
      </c>
      <c r="I10" s="130">
        <v>39000</v>
      </c>
      <c r="J10" s="130">
        <f t="shared" si="5"/>
        <v>-13000</v>
      </c>
      <c r="K10" s="130">
        <v>-41000</v>
      </c>
      <c r="L10" s="127">
        <f>SUM(I10:K10)</f>
        <v>-15000</v>
      </c>
      <c r="M10" s="128"/>
      <c r="N10" s="130">
        <f t="shared" si="1"/>
        <v>9449</v>
      </c>
      <c r="O10" s="130"/>
      <c r="P10" s="109">
        <f t="shared" si="6"/>
        <v>3749000</v>
      </c>
      <c r="Q10" s="109"/>
      <c r="R10" s="109">
        <f t="shared" si="2"/>
        <v>-1227000</v>
      </c>
      <c r="S10" s="109"/>
      <c r="T10" s="127">
        <f>SUM(P10:R10)</f>
        <v>2522000</v>
      </c>
      <c r="U10" s="132"/>
      <c r="V10" s="132"/>
    </row>
    <row r="11" spans="1:22" ht="15">
      <c r="A11" s="88" t="s">
        <v>30</v>
      </c>
      <c r="B11" s="127">
        <v>11764</v>
      </c>
      <c r="C11" s="127">
        <v>4096000</v>
      </c>
      <c r="D11" s="130">
        <f t="shared" si="4"/>
        <v>-1365000</v>
      </c>
      <c r="E11" s="258">
        <v>256000</v>
      </c>
      <c r="F11" s="127">
        <f t="shared" si="0"/>
        <v>2987000</v>
      </c>
      <c r="G11" s="127"/>
      <c r="H11" s="109">
        <v>838</v>
      </c>
      <c r="I11" s="130">
        <v>286000</v>
      </c>
      <c r="J11" s="130">
        <f t="shared" si="5"/>
        <v>-95000</v>
      </c>
      <c r="K11" s="130">
        <v>234000</v>
      </c>
      <c r="L11" s="127">
        <f t="shared" si="3"/>
        <v>425000</v>
      </c>
      <c r="M11" s="128"/>
      <c r="N11" s="130">
        <f t="shared" si="1"/>
        <v>12602</v>
      </c>
      <c r="O11" s="130"/>
      <c r="P11" s="109">
        <f t="shared" si="6"/>
        <v>4872000</v>
      </c>
      <c r="Q11" s="109"/>
      <c r="R11" s="109">
        <f t="shared" si="2"/>
        <v>-1460000</v>
      </c>
      <c r="S11" s="109"/>
      <c r="T11" s="127">
        <f aca="true" t="shared" si="7" ref="T11:T29">SUM(P11:R11)</f>
        <v>3412000</v>
      </c>
      <c r="U11" s="132"/>
      <c r="V11" s="132"/>
    </row>
    <row r="12" spans="1:22" ht="15">
      <c r="A12" s="88" t="s">
        <v>4</v>
      </c>
      <c r="B12" s="127">
        <v>18185</v>
      </c>
      <c r="C12" s="127">
        <v>6229000</v>
      </c>
      <c r="D12" s="130">
        <f t="shared" si="4"/>
        <v>-2076000</v>
      </c>
      <c r="E12" s="258">
        <v>762000</v>
      </c>
      <c r="F12" s="127">
        <f t="shared" si="0"/>
        <v>4915000</v>
      </c>
      <c r="G12" s="127"/>
      <c r="H12" s="109">
        <v>555</v>
      </c>
      <c r="I12" s="130">
        <v>211000</v>
      </c>
      <c r="J12" s="130">
        <f t="shared" si="5"/>
        <v>-70000</v>
      </c>
      <c r="K12" s="130">
        <v>-8000</v>
      </c>
      <c r="L12" s="127">
        <f t="shared" si="3"/>
        <v>133000</v>
      </c>
      <c r="M12" s="128"/>
      <c r="N12" s="130">
        <f t="shared" si="1"/>
        <v>18740</v>
      </c>
      <c r="O12" s="130"/>
      <c r="P12" s="109">
        <f t="shared" si="6"/>
        <v>7194000</v>
      </c>
      <c r="Q12" s="109"/>
      <c r="R12" s="109">
        <f t="shared" si="2"/>
        <v>-2146000</v>
      </c>
      <c r="S12" s="109"/>
      <c r="T12" s="127">
        <f t="shared" si="7"/>
        <v>5048000</v>
      </c>
      <c r="U12" s="132"/>
      <c r="V12" s="132"/>
    </row>
    <row r="13" spans="1:22" ht="15">
      <c r="A13" s="88" t="s">
        <v>5</v>
      </c>
      <c r="B13" s="127">
        <v>27190</v>
      </c>
      <c r="C13" s="127">
        <v>10254000</v>
      </c>
      <c r="D13" s="130">
        <f t="shared" si="4"/>
        <v>-3418000</v>
      </c>
      <c r="E13" s="258">
        <v>-1127000</v>
      </c>
      <c r="F13" s="127">
        <f t="shared" si="0"/>
        <v>5709000</v>
      </c>
      <c r="G13" s="127"/>
      <c r="H13" s="109">
        <v>920</v>
      </c>
      <c r="I13" s="130">
        <v>379000</v>
      </c>
      <c r="J13" s="130">
        <f t="shared" si="5"/>
        <v>-126000</v>
      </c>
      <c r="K13" s="130">
        <v>286000</v>
      </c>
      <c r="L13" s="127">
        <f t="shared" si="3"/>
        <v>539000</v>
      </c>
      <c r="M13" s="128"/>
      <c r="N13" s="130">
        <f t="shared" si="1"/>
        <v>28110</v>
      </c>
      <c r="O13" s="130"/>
      <c r="P13" s="109">
        <f t="shared" si="6"/>
        <v>9792000</v>
      </c>
      <c r="Q13" s="109"/>
      <c r="R13" s="109">
        <f t="shared" si="2"/>
        <v>-3544000</v>
      </c>
      <c r="S13" s="109"/>
      <c r="T13" s="127">
        <f t="shared" si="7"/>
        <v>6248000</v>
      </c>
      <c r="U13" s="132"/>
      <c r="V13" s="132"/>
    </row>
    <row r="14" spans="1:22" ht="15">
      <c r="A14" s="88" t="s">
        <v>6</v>
      </c>
      <c r="B14" s="127">
        <v>7034</v>
      </c>
      <c r="C14" s="127">
        <v>2269000</v>
      </c>
      <c r="D14" s="130">
        <f t="shared" si="4"/>
        <v>-756000</v>
      </c>
      <c r="E14" s="258">
        <v>239000</v>
      </c>
      <c r="F14" s="127">
        <f t="shared" si="0"/>
        <v>1752000</v>
      </c>
      <c r="G14" s="127"/>
      <c r="H14" s="109">
        <v>186</v>
      </c>
      <c r="I14" s="130">
        <v>65000</v>
      </c>
      <c r="J14" s="130">
        <f t="shared" si="5"/>
        <v>-22000</v>
      </c>
      <c r="K14" s="130">
        <v>-36000</v>
      </c>
      <c r="L14" s="127">
        <f t="shared" si="3"/>
        <v>7000</v>
      </c>
      <c r="M14" s="128"/>
      <c r="N14" s="130">
        <f t="shared" si="1"/>
        <v>7220</v>
      </c>
      <c r="O14" s="130"/>
      <c r="P14" s="109">
        <f t="shared" si="6"/>
        <v>2537000</v>
      </c>
      <c r="Q14" s="109"/>
      <c r="R14" s="109">
        <f t="shared" si="2"/>
        <v>-778000</v>
      </c>
      <c r="S14" s="109"/>
      <c r="T14" s="127">
        <f t="shared" si="7"/>
        <v>1759000</v>
      </c>
      <c r="U14" s="132"/>
      <c r="V14" s="132"/>
    </row>
    <row r="15" spans="1:22" ht="15">
      <c r="A15" s="88" t="s">
        <v>7</v>
      </c>
      <c r="B15" s="127">
        <v>28100</v>
      </c>
      <c r="C15" s="127">
        <v>10355000</v>
      </c>
      <c r="D15" s="130">
        <f t="shared" si="4"/>
        <v>-3452000</v>
      </c>
      <c r="E15" s="258">
        <v>-265000</v>
      </c>
      <c r="F15" s="127">
        <f t="shared" si="0"/>
        <v>6638000</v>
      </c>
      <c r="G15" s="127"/>
      <c r="H15" s="109">
        <v>1330</v>
      </c>
      <c r="I15" s="130">
        <v>517000</v>
      </c>
      <c r="J15" s="130">
        <f t="shared" si="5"/>
        <v>-172000</v>
      </c>
      <c r="K15" s="130">
        <v>169000</v>
      </c>
      <c r="L15" s="127">
        <f t="shared" si="3"/>
        <v>514000</v>
      </c>
      <c r="M15" s="128"/>
      <c r="N15" s="130">
        <f t="shared" si="1"/>
        <v>29430</v>
      </c>
      <c r="O15" s="130"/>
      <c r="P15" s="109">
        <f t="shared" si="6"/>
        <v>10776000</v>
      </c>
      <c r="Q15" s="109"/>
      <c r="R15" s="109">
        <f t="shared" si="2"/>
        <v>-3624000</v>
      </c>
      <c r="S15" s="109"/>
      <c r="T15" s="127">
        <f t="shared" si="7"/>
        <v>7152000</v>
      </c>
      <c r="U15" s="132"/>
      <c r="V15" s="132"/>
    </row>
    <row r="16" spans="1:22" ht="15">
      <c r="A16" s="88" t="s">
        <v>8</v>
      </c>
      <c r="B16" s="127">
        <v>17000</v>
      </c>
      <c r="C16" s="127">
        <v>6342000</v>
      </c>
      <c r="D16" s="130">
        <f t="shared" si="4"/>
        <v>-2114000</v>
      </c>
      <c r="E16" s="258">
        <v>-151000</v>
      </c>
      <c r="F16" s="127">
        <f t="shared" si="0"/>
        <v>4077000</v>
      </c>
      <c r="G16" s="127"/>
      <c r="H16" s="109">
        <v>813</v>
      </c>
      <c r="I16" s="130">
        <v>329000</v>
      </c>
      <c r="J16" s="130">
        <f t="shared" si="5"/>
        <v>-110000</v>
      </c>
      <c r="K16" s="130">
        <v>1102000</v>
      </c>
      <c r="L16" s="127">
        <f t="shared" si="3"/>
        <v>1321000</v>
      </c>
      <c r="M16" s="128"/>
      <c r="N16" s="130">
        <f t="shared" si="1"/>
        <v>17813</v>
      </c>
      <c r="O16" s="130"/>
      <c r="P16" s="109">
        <f t="shared" si="6"/>
        <v>7622000</v>
      </c>
      <c r="Q16" s="109"/>
      <c r="R16" s="109">
        <f t="shared" si="2"/>
        <v>-2224000</v>
      </c>
      <c r="S16" s="109"/>
      <c r="T16" s="127">
        <f t="shared" si="7"/>
        <v>5398000</v>
      </c>
      <c r="U16" s="132"/>
      <c r="V16" s="132"/>
    </row>
    <row r="17" spans="1:22" ht="15">
      <c r="A17" s="88" t="s">
        <v>9</v>
      </c>
      <c r="B17" s="127">
        <v>870</v>
      </c>
      <c r="C17" s="127">
        <v>205000</v>
      </c>
      <c r="D17" s="130">
        <f t="shared" si="4"/>
        <v>-68000</v>
      </c>
      <c r="E17" s="258">
        <v>29000</v>
      </c>
      <c r="F17" s="127">
        <f t="shared" si="0"/>
        <v>166000</v>
      </c>
      <c r="G17" s="127"/>
      <c r="H17" s="109">
        <v>68</v>
      </c>
      <c r="I17" s="130">
        <v>16000</v>
      </c>
      <c r="J17" s="130">
        <f t="shared" si="5"/>
        <v>-5000</v>
      </c>
      <c r="K17" s="130">
        <v>-153000</v>
      </c>
      <c r="L17" s="127">
        <f t="shared" si="3"/>
        <v>-142000</v>
      </c>
      <c r="M17" s="128"/>
      <c r="N17" s="130">
        <f t="shared" si="1"/>
        <v>938</v>
      </c>
      <c r="O17" s="130"/>
      <c r="P17" s="109">
        <f t="shared" si="6"/>
        <v>97000</v>
      </c>
      <c r="Q17" s="109"/>
      <c r="R17" s="109">
        <f t="shared" si="2"/>
        <v>-73000</v>
      </c>
      <c r="S17" s="109"/>
      <c r="T17" s="127">
        <f t="shared" si="7"/>
        <v>24000</v>
      </c>
      <c r="U17" s="132"/>
      <c r="V17" s="132"/>
    </row>
    <row r="18" spans="1:22" ht="15">
      <c r="A18" s="88" t="s">
        <v>10</v>
      </c>
      <c r="B18" s="127">
        <v>3640</v>
      </c>
      <c r="C18" s="127">
        <v>1155000</v>
      </c>
      <c r="D18" s="130">
        <f t="shared" si="4"/>
        <v>-385000</v>
      </c>
      <c r="E18" s="258">
        <v>-132000</v>
      </c>
      <c r="F18" s="127">
        <f t="shared" si="0"/>
        <v>638000</v>
      </c>
      <c r="G18" s="127"/>
      <c r="H18" s="109">
        <v>98</v>
      </c>
      <c r="I18" s="130">
        <v>31000</v>
      </c>
      <c r="J18" s="130">
        <f t="shared" si="5"/>
        <v>-10000</v>
      </c>
      <c r="K18" s="130">
        <v>15000</v>
      </c>
      <c r="L18" s="127">
        <f t="shared" si="3"/>
        <v>36000</v>
      </c>
      <c r="M18" s="128"/>
      <c r="N18" s="130">
        <f t="shared" si="1"/>
        <v>3738</v>
      </c>
      <c r="O18" s="130"/>
      <c r="P18" s="109">
        <f t="shared" si="6"/>
        <v>1069000</v>
      </c>
      <c r="Q18" s="109"/>
      <c r="R18" s="109">
        <f t="shared" si="2"/>
        <v>-395000</v>
      </c>
      <c r="S18" s="109"/>
      <c r="T18" s="127">
        <f t="shared" si="7"/>
        <v>674000</v>
      </c>
      <c r="U18" s="132"/>
      <c r="V18" s="132"/>
    </row>
    <row r="19" spans="1:22" ht="15">
      <c r="A19" s="88" t="s">
        <v>11</v>
      </c>
      <c r="B19" s="127">
        <v>25733</v>
      </c>
      <c r="C19" s="127">
        <v>9707000</v>
      </c>
      <c r="D19" s="130">
        <f t="shared" si="4"/>
        <v>-3236000</v>
      </c>
      <c r="E19" s="258">
        <v>-260000</v>
      </c>
      <c r="F19" s="127">
        <f t="shared" si="0"/>
        <v>6211000</v>
      </c>
      <c r="G19" s="127"/>
      <c r="H19" s="109">
        <v>1367</v>
      </c>
      <c r="I19" s="130">
        <v>533000</v>
      </c>
      <c r="J19" s="130">
        <f t="shared" si="5"/>
        <v>-178000</v>
      </c>
      <c r="K19" s="130">
        <v>766000</v>
      </c>
      <c r="L19" s="127">
        <f t="shared" si="3"/>
        <v>1121000</v>
      </c>
      <c r="M19" s="128"/>
      <c r="N19" s="130">
        <f t="shared" si="1"/>
        <v>27100</v>
      </c>
      <c r="O19" s="130"/>
      <c r="P19" s="109">
        <f t="shared" si="6"/>
        <v>10746000</v>
      </c>
      <c r="Q19" s="109"/>
      <c r="R19" s="109">
        <f t="shared" si="2"/>
        <v>-3414000</v>
      </c>
      <c r="S19" s="109"/>
      <c r="T19" s="127">
        <f t="shared" si="7"/>
        <v>7332000</v>
      </c>
      <c r="U19" s="132"/>
      <c r="V19" s="132"/>
    </row>
    <row r="20" spans="1:22" ht="15">
      <c r="A20" s="88" t="s">
        <v>12</v>
      </c>
      <c r="B20" s="127">
        <v>17816</v>
      </c>
      <c r="C20" s="127">
        <v>6312000</v>
      </c>
      <c r="D20" s="130">
        <f t="shared" si="4"/>
        <v>-2104000</v>
      </c>
      <c r="E20" s="258">
        <v>815000</v>
      </c>
      <c r="F20" s="127">
        <f t="shared" si="0"/>
        <v>5023000</v>
      </c>
      <c r="G20" s="127"/>
      <c r="H20" s="109">
        <v>784</v>
      </c>
      <c r="I20" s="130">
        <v>279000</v>
      </c>
      <c r="J20" s="130">
        <f t="shared" si="5"/>
        <v>-93000</v>
      </c>
      <c r="K20" s="130">
        <v>419000</v>
      </c>
      <c r="L20" s="127">
        <f t="shared" si="3"/>
        <v>605000</v>
      </c>
      <c r="M20" s="128"/>
      <c r="N20" s="130">
        <f t="shared" si="1"/>
        <v>18600</v>
      </c>
      <c r="O20" s="130"/>
      <c r="P20" s="109">
        <f t="shared" si="6"/>
        <v>7825000</v>
      </c>
      <c r="Q20" s="109"/>
      <c r="R20" s="109">
        <f t="shared" si="2"/>
        <v>-2197000</v>
      </c>
      <c r="S20" s="109"/>
      <c r="T20" s="127">
        <f t="shared" si="7"/>
        <v>5628000</v>
      </c>
      <c r="U20" s="132"/>
      <c r="V20" s="132"/>
    </row>
    <row r="21" spans="1:22" ht="15">
      <c r="A21" s="88" t="s">
        <v>13</v>
      </c>
      <c r="B21" s="127">
        <v>22970</v>
      </c>
      <c r="C21" s="127">
        <v>8159000</v>
      </c>
      <c r="D21" s="130">
        <f t="shared" si="4"/>
        <v>-2720000</v>
      </c>
      <c r="E21" s="258">
        <v>305000</v>
      </c>
      <c r="F21" s="127">
        <f t="shared" si="0"/>
        <v>5744000</v>
      </c>
      <c r="G21" s="127"/>
      <c r="H21" s="109">
        <v>443</v>
      </c>
      <c r="I21" s="130">
        <v>188000</v>
      </c>
      <c r="J21" s="130">
        <f t="shared" si="5"/>
        <v>-63000</v>
      </c>
      <c r="K21" s="130">
        <v>104000</v>
      </c>
      <c r="L21" s="127">
        <f t="shared" si="3"/>
        <v>229000</v>
      </c>
      <c r="M21" s="128"/>
      <c r="N21" s="130">
        <f t="shared" si="1"/>
        <v>23413</v>
      </c>
      <c r="O21" s="130"/>
      <c r="P21" s="109">
        <f t="shared" si="6"/>
        <v>8756000</v>
      </c>
      <c r="Q21" s="109"/>
      <c r="R21" s="109">
        <f t="shared" si="2"/>
        <v>-2783000</v>
      </c>
      <c r="S21" s="109"/>
      <c r="T21" s="127">
        <f t="shared" si="7"/>
        <v>5973000</v>
      </c>
      <c r="U21" s="132"/>
      <c r="V21" s="132"/>
    </row>
    <row r="22" spans="1:22" ht="15">
      <c r="A22" s="88" t="s">
        <v>14</v>
      </c>
      <c r="B22" s="127">
        <v>14415</v>
      </c>
      <c r="C22" s="127">
        <v>5222000</v>
      </c>
      <c r="D22" s="130">
        <f t="shared" si="4"/>
        <v>-1741000</v>
      </c>
      <c r="E22" s="258">
        <v>262000</v>
      </c>
      <c r="F22" s="127">
        <f t="shared" si="0"/>
        <v>3743000</v>
      </c>
      <c r="G22" s="127"/>
      <c r="H22" s="109">
        <v>382</v>
      </c>
      <c r="I22" s="130">
        <v>149000</v>
      </c>
      <c r="J22" s="130">
        <f t="shared" si="5"/>
        <v>-50000</v>
      </c>
      <c r="K22" s="130">
        <v>14000</v>
      </c>
      <c r="L22" s="127">
        <f t="shared" si="3"/>
        <v>113000</v>
      </c>
      <c r="M22" s="128"/>
      <c r="N22" s="130">
        <f t="shared" si="1"/>
        <v>14797</v>
      </c>
      <c r="O22" s="130"/>
      <c r="P22" s="109">
        <f t="shared" si="6"/>
        <v>5647000</v>
      </c>
      <c r="Q22" s="109"/>
      <c r="R22" s="109">
        <f t="shared" si="2"/>
        <v>-1791000</v>
      </c>
      <c r="S22" s="109"/>
      <c r="T22" s="127">
        <f t="shared" si="7"/>
        <v>3856000</v>
      </c>
      <c r="U22" s="132"/>
      <c r="V22" s="132"/>
    </row>
    <row r="23" spans="1:22" ht="15">
      <c r="A23" s="88" t="s">
        <v>15</v>
      </c>
      <c r="B23" s="127">
        <v>28298</v>
      </c>
      <c r="C23" s="127">
        <v>9977000</v>
      </c>
      <c r="D23" s="130">
        <f>-ROUND(C23/3/1000,0)*1000+1000</f>
        <v>-3325000</v>
      </c>
      <c r="E23" s="258">
        <v>2157000</v>
      </c>
      <c r="F23" s="127">
        <f t="shared" si="0"/>
        <v>8809000</v>
      </c>
      <c r="G23" s="127"/>
      <c r="H23" s="109">
        <v>1589</v>
      </c>
      <c r="I23" s="130">
        <v>630000</v>
      </c>
      <c r="J23" s="130">
        <f t="shared" si="5"/>
        <v>-210000</v>
      </c>
      <c r="K23" s="130">
        <v>1000000</v>
      </c>
      <c r="L23" s="127">
        <f t="shared" si="3"/>
        <v>1420000</v>
      </c>
      <c r="M23" s="128"/>
      <c r="N23" s="130">
        <f t="shared" si="1"/>
        <v>29887</v>
      </c>
      <c r="O23" s="130"/>
      <c r="P23" s="109">
        <f t="shared" si="6"/>
        <v>13764000</v>
      </c>
      <c r="Q23" s="109"/>
      <c r="R23" s="109">
        <f t="shared" si="2"/>
        <v>-3535000</v>
      </c>
      <c r="S23" s="109"/>
      <c r="T23" s="127">
        <f t="shared" si="7"/>
        <v>10229000</v>
      </c>
      <c r="U23" s="132"/>
      <c r="V23" s="132"/>
    </row>
    <row r="24" spans="1:22" ht="15">
      <c r="A24" s="88" t="s">
        <v>16</v>
      </c>
      <c r="B24" s="127">
        <v>23416</v>
      </c>
      <c r="C24" s="127">
        <v>8335000</v>
      </c>
      <c r="D24" s="130">
        <f t="shared" si="4"/>
        <v>-2778000</v>
      </c>
      <c r="E24" s="258">
        <v>-131000</v>
      </c>
      <c r="F24" s="127">
        <f t="shared" si="0"/>
        <v>5426000</v>
      </c>
      <c r="G24" s="127"/>
      <c r="H24" s="109">
        <v>1628.425</v>
      </c>
      <c r="I24" s="130">
        <v>620000</v>
      </c>
      <c r="J24" s="130">
        <f t="shared" si="5"/>
        <v>-207000</v>
      </c>
      <c r="K24" s="130">
        <v>376000</v>
      </c>
      <c r="L24" s="127">
        <f t="shared" si="3"/>
        <v>789000</v>
      </c>
      <c r="M24" s="128"/>
      <c r="N24" s="130">
        <f t="shared" si="1"/>
        <v>25044</v>
      </c>
      <c r="O24" s="130"/>
      <c r="P24" s="109">
        <f t="shared" si="6"/>
        <v>9200000</v>
      </c>
      <c r="Q24" s="109"/>
      <c r="R24" s="109">
        <f t="shared" si="2"/>
        <v>-2985000</v>
      </c>
      <c r="S24" s="109"/>
      <c r="T24" s="127">
        <f t="shared" si="7"/>
        <v>6215000</v>
      </c>
      <c r="U24" s="132"/>
      <c r="V24" s="132"/>
    </row>
    <row r="25" spans="1:22" ht="15">
      <c r="A25" s="88" t="s">
        <v>17</v>
      </c>
      <c r="B25" s="127">
        <v>22460</v>
      </c>
      <c r="C25" s="127">
        <v>8263000</v>
      </c>
      <c r="D25" s="130">
        <f t="shared" si="4"/>
        <v>-2754000</v>
      </c>
      <c r="E25" s="258">
        <v>-436000</v>
      </c>
      <c r="F25" s="127">
        <f t="shared" si="0"/>
        <v>5073000</v>
      </c>
      <c r="G25" s="127"/>
      <c r="H25" s="109">
        <v>1819</v>
      </c>
      <c r="I25" s="130">
        <v>791000</v>
      </c>
      <c r="J25" s="130">
        <f t="shared" si="5"/>
        <v>-264000</v>
      </c>
      <c r="K25" s="130">
        <v>1147000</v>
      </c>
      <c r="L25" s="127">
        <f t="shared" si="3"/>
        <v>1674000</v>
      </c>
      <c r="M25" s="128"/>
      <c r="N25" s="130">
        <f t="shared" si="1"/>
        <v>24279</v>
      </c>
      <c r="O25" s="130"/>
      <c r="P25" s="109">
        <f t="shared" si="6"/>
        <v>9765000</v>
      </c>
      <c r="Q25" s="109"/>
      <c r="R25" s="109">
        <f t="shared" si="2"/>
        <v>-3018000</v>
      </c>
      <c r="S25" s="109"/>
      <c r="T25" s="127">
        <f t="shared" si="7"/>
        <v>6747000</v>
      </c>
      <c r="U25" s="132"/>
      <c r="V25" s="132"/>
    </row>
    <row r="26" spans="1:22" ht="15">
      <c r="A26" s="88" t="s">
        <v>18</v>
      </c>
      <c r="B26" s="127">
        <v>17350</v>
      </c>
      <c r="C26" s="127">
        <v>5659000</v>
      </c>
      <c r="D26" s="130">
        <f t="shared" si="4"/>
        <v>-1886000</v>
      </c>
      <c r="E26" s="258">
        <v>364000</v>
      </c>
      <c r="F26" s="127">
        <f t="shared" si="0"/>
        <v>4137000</v>
      </c>
      <c r="G26" s="127"/>
      <c r="H26" s="109">
        <v>721</v>
      </c>
      <c r="I26" s="130">
        <v>238000</v>
      </c>
      <c r="J26" s="130">
        <f t="shared" si="5"/>
        <v>-79000</v>
      </c>
      <c r="K26" s="130">
        <v>80000</v>
      </c>
      <c r="L26" s="127">
        <f t="shared" si="3"/>
        <v>239000</v>
      </c>
      <c r="M26" s="128"/>
      <c r="N26" s="130">
        <f t="shared" si="1"/>
        <v>18071</v>
      </c>
      <c r="O26" s="130"/>
      <c r="P26" s="109">
        <f t="shared" si="6"/>
        <v>6341000</v>
      </c>
      <c r="Q26" s="109"/>
      <c r="R26" s="109">
        <f t="shared" si="2"/>
        <v>-1965000</v>
      </c>
      <c r="S26" s="109"/>
      <c r="T26" s="127">
        <f t="shared" si="7"/>
        <v>4376000</v>
      </c>
      <c r="U26" s="132"/>
      <c r="V26" s="132"/>
    </row>
    <row r="27" spans="1:22" ht="15">
      <c r="A27" s="88" t="s">
        <v>19</v>
      </c>
      <c r="B27" s="127">
        <v>7283</v>
      </c>
      <c r="C27" s="127">
        <v>2567000</v>
      </c>
      <c r="D27" s="130">
        <f t="shared" si="4"/>
        <v>-856000</v>
      </c>
      <c r="E27" s="258">
        <v>-96000</v>
      </c>
      <c r="F27" s="127">
        <f t="shared" si="0"/>
        <v>1615000</v>
      </c>
      <c r="G27" s="127"/>
      <c r="H27" s="109">
        <v>108</v>
      </c>
      <c r="I27" s="130">
        <v>41000</v>
      </c>
      <c r="J27" s="130">
        <f t="shared" si="5"/>
        <v>-14000</v>
      </c>
      <c r="K27" s="130">
        <v>58000</v>
      </c>
      <c r="L27" s="127">
        <f t="shared" si="3"/>
        <v>85000</v>
      </c>
      <c r="M27" s="128"/>
      <c r="N27" s="130">
        <f t="shared" si="1"/>
        <v>7391</v>
      </c>
      <c r="O27" s="130"/>
      <c r="P27" s="109">
        <f t="shared" si="6"/>
        <v>2570000</v>
      </c>
      <c r="Q27" s="109"/>
      <c r="R27" s="109">
        <f t="shared" si="2"/>
        <v>-870000</v>
      </c>
      <c r="S27" s="109"/>
      <c r="T27" s="127">
        <f t="shared" si="7"/>
        <v>1700000</v>
      </c>
      <c r="U27" s="132"/>
      <c r="V27" s="132"/>
    </row>
    <row r="28" spans="1:22" ht="15">
      <c r="A28" s="88" t="s">
        <v>20</v>
      </c>
      <c r="B28" s="127">
        <v>7500</v>
      </c>
      <c r="C28" s="127">
        <v>2463000</v>
      </c>
      <c r="D28" s="130">
        <f t="shared" si="4"/>
        <v>-821000</v>
      </c>
      <c r="E28" s="258">
        <v>-40000</v>
      </c>
      <c r="F28" s="127">
        <f t="shared" si="0"/>
        <v>1602000</v>
      </c>
      <c r="G28" s="127"/>
      <c r="H28" s="109">
        <v>112</v>
      </c>
      <c r="I28" s="130">
        <v>38000</v>
      </c>
      <c r="J28" s="130">
        <f t="shared" si="5"/>
        <v>-13000</v>
      </c>
      <c r="K28" s="130">
        <v>-3000</v>
      </c>
      <c r="L28" s="127">
        <f t="shared" si="3"/>
        <v>22000</v>
      </c>
      <c r="M28" s="128"/>
      <c r="N28" s="130">
        <f t="shared" si="1"/>
        <v>7612</v>
      </c>
      <c r="O28" s="130"/>
      <c r="P28" s="109">
        <f t="shared" si="6"/>
        <v>2458000</v>
      </c>
      <c r="Q28" s="109"/>
      <c r="R28" s="109">
        <f t="shared" si="2"/>
        <v>-834000</v>
      </c>
      <c r="S28" s="109"/>
      <c r="T28" s="127">
        <f t="shared" si="7"/>
        <v>1624000</v>
      </c>
      <c r="U28" s="132"/>
      <c r="V28" s="132"/>
    </row>
    <row r="29" spans="1:22" ht="15">
      <c r="A29" s="88" t="s">
        <v>21</v>
      </c>
      <c r="B29" s="127">
        <v>7090</v>
      </c>
      <c r="C29" s="127">
        <f>2244000+93000</f>
        <v>2337000</v>
      </c>
      <c r="D29" s="130">
        <f t="shared" si="4"/>
        <v>-779000</v>
      </c>
      <c r="E29" s="258">
        <f>98000+33000</f>
        <v>131000</v>
      </c>
      <c r="F29" s="127">
        <f t="shared" si="0"/>
        <v>1689000</v>
      </c>
      <c r="G29" s="127"/>
      <c r="H29" s="109">
        <v>51</v>
      </c>
      <c r="I29" s="130">
        <v>16000</v>
      </c>
      <c r="J29" s="130">
        <f t="shared" si="5"/>
        <v>-5000</v>
      </c>
      <c r="K29" s="130">
        <v>-102000</v>
      </c>
      <c r="L29" s="127">
        <f>SUM(I29:K29)</f>
        <v>-91000</v>
      </c>
      <c r="M29" s="128"/>
      <c r="N29" s="130">
        <f t="shared" si="1"/>
        <v>7141</v>
      </c>
      <c r="O29" s="130"/>
      <c r="P29" s="109">
        <f t="shared" si="6"/>
        <v>2382000</v>
      </c>
      <c r="Q29" s="109"/>
      <c r="R29" s="109">
        <f t="shared" si="2"/>
        <v>-784000</v>
      </c>
      <c r="S29" s="109"/>
      <c r="T29" s="127">
        <f t="shared" si="7"/>
        <v>1598000</v>
      </c>
      <c r="U29" s="132"/>
      <c r="V29" s="132"/>
    </row>
    <row r="30" spans="1:22" ht="9" customHeight="1">
      <c r="A30" s="88"/>
      <c r="B30" s="127"/>
      <c r="C30" s="133"/>
      <c r="D30" s="128"/>
      <c r="E30" s="127"/>
      <c r="F30" s="134"/>
      <c r="G30" s="134"/>
      <c r="H30" s="128"/>
      <c r="I30" s="128"/>
      <c r="J30" s="128"/>
      <c r="K30" s="128"/>
      <c r="L30" s="134"/>
      <c r="M30" s="128"/>
      <c r="N30" s="130"/>
      <c r="O30" s="128"/>
      <c r="P30" s="109"/>
      <c r="Q30" s="109"/>
      <c r="R30" s="109"/>
      <c r="S30" s="109"/>
      <c r="T30" s="134"/>
      <c r="U30" s="132"/>
      <c r="V30" s="132"/>
    </row>
    <row r="31" spans="1:22" ht="15">
      <c r="A31" s="89" t="s">
        <v>22</v>
      </c>
      <c r="B31" s="135">
        <f>SUM(B7:B30)</f>
        <v>341527</v>
      </c>
      <c r="C31" s="124">
        <f>SUM(C7:C30)</f>
        <v>121399000</v>
      </c>
      <c r="D31" s="124">
        <f>SUM(D7:D30)</f>
        <v>-40465000</v>
      </c>
      <c r="E31" s="124">
        <f>SUM(E7:E30)</f>
        <v>1799000</v>
      </c>
      <c r="F31" s="124">
        <f>SUM(F7:F30)</f>
        <v>82733000</v>
      </c>
      <c r="G31" s="126"/>
      <c r="H31" s="135">
        <f>SUM(H7:H30)</f>
        <v>14500</v>
      </c>
      <c r="I31" s="124">
        <f>SUM(I7:I30)</f>
        <v>5606000</v>
      </c>
      <c r="J31" s="124">
        <f>SUM(J7:J30)</f>
        <v>-1869000</v>
      </c>
      <c r="K31" s="124">
        <f>SUM(K7:K30)</f>
        <v>5716000</v>
      </c>
      <c r="L31" s="124">
        <f>SUM(L7:L30)</f>
        <v>9453000</v>
      </c>
      <c r="M31" s="126"/>
      <c r="N31" s="135">
        <f>SUM(N7:N30)</f>
        <v>356027</v>
      </c>
      <c r="O31" s="124"/>
      <c r="P31" s="124">
        <f>SUM(P7:P30)</f>
        <v>134520000</v>
      </c>
      <c r="Q31" s="135"/>
      <c r="R31" s="124">
        <f>SUM(R7:R30)</f>
        <v>-42334000</v>
      </c>
      <c r="S31" s="135"/>
      <c r="T31" s="124">
        <f>SUM(T7:T30)</f>
        <v>92186000</v>
      </c>
      <c r="U31" s="132"/>
      <c r="V31" s="132"/>
    </row>
    <row r="32" spans="1:22" ht="9" customHeight="1">
      <c r="A32" s="88"/>
      <c r="B32" s="127"/>
      <c r="C32" s="127"/>
      <c r="D32" s="128"/>
      <c r="E32" s="127"/>
      <c r="F32" s="134"/>
      <c r="G32" s="134"/>
      <c r="H32" s="128"/>
      <c r="I32" s="128"/>
      <c r="J32" s="128"/>
      <c r="K32" s="128"/>
      <c r="L32" s="134"/>
      <c r="M32" s="128"/>
      <c r="N32" s="130"/>
      <c r="O32" s="128"/>
      <c r="P32" s="109"/>
      <c r="Q32" s="109"/>
      <c r="R32" s="109"/>
      <c r="S32" s="109"/>
      <c r="T32" s="134"/>
      <c r="U32" s="132"/>
      <c r="V32" s="132"/>
    </row>
    <row r="33" spans="1:22" ht="15">
      <c r="A33" s="88" t="s">
        <v>23</v>
      </c>
      <c r="B33" s="127">
        <v>0</v>
      </c>
      <c r="C33" s="127">
        <v>0</v>
      </c>
      <c r="D33" s="130">
        <f>-ROUND(C33/3/1000,0)*1000</f>
        <v>0</v>
      </c>
      <c r="E33" s="127">
        <v>0</v>
      </c>
      <c r="F33" s="127">
        <f>SUM(C33:E33)</f>
        <v>0</v>
      </c>
      <c r="G33" s="127"/>
      <c r="H33" s="128">
        <v>0</v>
      </c>
      <c r="I33" s="130">
        <v>0</v>
      </c>
      <c r="J33" s="130">
        <f>-ROUND(I33/3/1000,0)*1000</f>
        <v>0</v>
      </c>
      <c r="K33" s="130">
        <v>0</v>
      </c>
      <c r="L33" s="127">
        <f>SUM(I33:K33)</f>
        <v>0</v>
      </c>
      <c r="M33" s="128"/>
      <c r="N33" s="130">
        <f>B33+H33</f>
        <v>0</v>
      </c>
      <c r="O33" s="130"/>
      <c r="P33" s="109">
        <f>C33+I33+E33+K33</f>
        <v>0</v>
      </c>
      <c r="Q33" s="109"/>
      <c r="R33" s="109">
        <f>D33+J33</f>
        <v>0</v>
      </c>
      <c r="S33" s="109"/>
      <c r="T33" s="127">
        <f>SUM(P33:R33)</f>
        <v>0</v>
      </c>
      <c r="U33" s="132"/>
      <c r="V33" s="132"/>
    </row>
    <row r="34" spans="1:22" ht="15">
      <c r="A34" s="271" t="s">
        <v>38</v>
      </c>
      <c r="B34" s="127">
        <v>650</v>
      </c>
      <c r="C34" s="127">
        <v>325000</v>
      </c>
      <c r="D34" s="130">
        <f>-ROUND(C34/3/1000,0)*1000</f>
        <v>-108000</v>
      </c>
      <c r="E34" s="127">
        <v>14000</v>
      </c>
      <c r="F34" s="127">
        <f>SUM(C34:E34)</f>
        <v>231000</v>
      </c>
      <c r="G34" s="127"/>
      <c r="H34" s="128">
        <v>1</v>
      </c>
      <c r="I34" s="130">
        <v>0</v>
      </c>
      <c r="J34" s="130">
        <f>-ROUND(I34/3/1000,0)*1000</f>
        <v>0</v>
      </c>
      <c r="K34" s="130">
        <v>2000</v>
      </c>
      <c r="L34" s="127">
        <f>SUM(I34:K34)</f>
        <v>2000</v>
      </c>
      <c r="M34" s="128"/>
      <c r="N34" s="130">
        <f>B34+H34</f>
        <v>651</v>
      </c>
      <c r="O34" s="130"/>
      <c r="P34" s="109">
        <f>C34+I34+E34+K34</f>
        <v>341000</v>
      </c>
      <c r="Q34" s="109"/>
      <c r="R34" s="109">
        <f>D34+J34</f>
        <v>-108000</v>
      </c>
      <c r="S34" s="109"/>
      <c r="T34" s="127">
        <f>SUM(P34:R34)</f>
        <v>233000</v>
      </c>
      <c r="U34" s="132"/>
      <c r="V34" s="132"/>
    </row>
    <row r="35" spans="1:22" ht="15">
      <c r="A35" s="271" t="s">
        <v>24</v>
      </c>
      <c r="B35" s="127">
        <v>665</v>
      </c>
      <c r="C35" s="127">
        <v>176000</v>
      </c>
      <c r="D35" s="130">
        <f>-ROUND(C35/3/1000,0)*1000</f>
        <v>-59000</v>
      </c>
      <c r="E35" s="127">
        <v>-85000</v>
      </c>
      <c r="F35" s="127">
        <f>SUM(C35:E35)</f>
        <v>32000</v>
      </c>
      <c r="G35" s="127"/>
      <c r="H35" s="128">
        <v>6</v>
      </c>
      <c r="I35" s="130">
        <v>2000</v>
      </c>
      <c r="J35" s="130">
        <f>-ROUND(I35/3/1000,0)*1000</f>
        <v>-1000</v>
      </c>
      <c r="K35" s="130">
        <f>-5000</f>
        <v>-5000</v>
      </c>
      <c r="L35" s="127">
        <f>SUM(I35:K35)</f>
        <v>-4000</v>
      </c>
      <c r="M35" s="128"/>
      <c r="N35" s="130">
        <f>B35+H35</f>
        <v>671</v>
      </c>
      <c r="O35" s="130"/>
      <c r="P35" s="109">
        <f>C35+I35+E35+K35</f>
        <v>88000</v>
      </c>
      <c r="Q35" s="109"/>
      <c r="R35" s="109">
        <f>D35+J35</f>
        <v>-60000</v>
      </c>
      <c r="S35" s="109"/>
      <c r="T35" s="127">
        <f>SUM(P35:R35)</f>
        <v>28000</v>
      </c>
      <c r="U35" s="132"/>
      <c r="V35" s="132"/>
    </row>
    <row r="36" spans="1:22" ht="15">
      <c r="A36" s="271" t="s">
        <v>25</v>
      </c>
      <c r="B36" s="127">
        <v>51</v>
      </c>
      <c r="C36" s="127">
        <v>21000</v>
      </c>
      <c r="D36" s="130">
        <f>-ROUND(C36/3/1000,0)*1000</f>
        <v>-7000</v>
      </c>
      <c r="E36" s="127">
        <v>-51000</v>
      </c>
      <c r="F36" s="127">
        <f>SUM(C36:E36)</f>
        <v>-37000</v>
      </c>
      <c r="G36" s="127"/>
      <c r="H36" s="128">
        <v>3</v>
      </c>
      <c r="I36" s="130">
        <v>2000</v>
      </c>
      <c r="J36" s="130">
        <f>-ROUND(I36/3/1000,0)*1000</f>
        <v>-1000</v>
      </c>
      <c r="K36" s="130">
        <f>-12000</f>
        <v>-12000</v>
      </c>
      <c r="L36" s="127">
        <f>SUM(I36:K36)</f>
        <v>-11000</v>
      </c>
      <c r="M36" s="128"/>
      <c r="N36" s="130">
        <f>B36+H36</f>
        <v>54</v>
      </c>
      <c r="O36" s="130"/>
      <c r="P36" s="109">
        <f>C36+I36+E36+K36</f>
        <v>-40000</v>
      </c>
      <c r="Q36" s="109"/>
      <c r="R36" s="109">
        <f>D36+J36</f>
        <v>-8000</v>
      </c>
      <c r="S36" s="109"/>
      <c r="T36" s="127">
        <f>SUM(P36:R36)</f>
        <v>-48000</v>
      </c>
      <c r="U36" s="132"/>
      <c r="V36" s="132"/>
    </row>
    <row r="37" spans="1:22" ht="15">
      <c r="A37" s="88" t="s">
        <v>26</v>
      </c>
      <c r="B37" s="127">
        <v>0</v>
      </c>
      <c r="C37" s="127">
        <v>0</v>
      </c>
      <c r="D37" s="130">
        <f>-ROUND(C37/3/1000,0)*1000</f>
        <v>0</v>
      </c>
      <c r="E37" s="127">
        <v>0</v>
      </c>
      <c r="F37" s="127">
        <f>SUM(C37:E37)</f>
        <v>0</v>
      </c>
      <c r="G37" s="127"/>
      <c r="H37" s="128">
        <v>0</v>
      </c>
      <c r="I37" s="130">
        <v>0</v>
      </c>
      <c r="J37" s="130">
        <f>-ROUND(I37/3/1000,0)*1000</f>
        <v>0</v>
      </c>
      <c r="K37" s="130">
        <v>0</v>
      </c>
      <c r="L37" s="127">
        <f>SUM(I37:K37)</f>
        <v>0</v>
      </c>
      <c r="M37" s="128"/>
      <c r="N37" s="130">
        <f>B37+H37</f>
        <v>0</v>
      </c>
      <c r="O37" s="128"/>
      <c r="P37" s="109">
        <f>C37+I37+E37+K37</f>
        <v>0</v>
      </c>
      <c r="Q37" s="109"/>
      <c r="R37" s="109">
        <f>D37+J37</f>
        <v>0</v>
      </c>
      <c r="S37" s="109"/>
      <c r="T37" s="127">
        <f>SUM(P37:R37)</f>
        <v>0</v>
      </c>
      <c r="U37" s="132"/>
      <c r="V37" s="132"/>
    </row>
    <row r="38" spans="1:22" ht="9" customHeight="1">
      <c r="A38" s="88"/>
      <c r="B38" s="127"/>
      <c r="C38" s="127"/>
      <c r="D38" s="128"/>
      <c r="E38" s="127"/>
      <c r="F38" s="134"/>
      <c r="G38" s="134"/>
      <c r="H38" s="128"/>
      <c r="I38" s="128"/>
      <c r="J38" s="128"/>
      <c r="K38" s="128"/>
      <c r="L38" s="134"/>
      <c r="M38" s="128"/>
      <c r="N38" s="128"/>
      <c r="O38" s="128"/>
      <c r="P38" s="109"/>
      <c r="Q38" s="109"/>
      <c r="R38" s="109"/>
      <c r="S38" s="109"/>
      <c r="T38" s="134"/>
      <c r="U38" s="132"/>
      <c r="V38" s="132"/>
    </row>
    <row r="39" spans="1:22" ht="15.75" thickBot="1">
      <c r="A39" s="90" t="s">
        <v>27</v>
      </c>
      <c r="B39" s="136">
        <f>SUM(B31:B37)</f>
        <v>342893</v>
      </c>
      <c r="C39" s="137">
        <f>SUM(C31:C37)</f>
        <v>121921000</v>
      </c>
      <c r="D39" s="137">
        <f>SUM(D31:D37)</f>
        <v>-40639000</v>
      </c>
      <c r="E39" s="137">
        <f>SUM(E31:E37)</f>
        <v>1677000</v>
      </c>
      <c r="F39" s="137">
        <f>SUM(F31:F37)</f>
        <v>82959000</v>
      </c>
      <c r="G39" s="126"/>
      <c r="H39" s="136">
        <f>SUM(H31:H37)</f>
        <v>14510</v>
      </c>
      <c r="I39" s="137">
        <f>SUM(I31:I37)</f>
        <v>5610000</v>
      </c>
      <c r="J39" s="137">
        <f>SUM(J31:J37)</f>
        <v>-1871000</v>
      </c>
      <c r="K39" s="137">
        <f>SUM(K31:K37)</f>
        <v>5701000</v>
      </c>
      <c r="L39" s="137">
        <f>SUM(L31:L37)</f>
        <v>9440000</v>
      </c>
      <c r="M39" s="126"/>
      <c r="N39" s="136">
        <f>SUM(N31:N37)</f>
        <v>357403</v>
      </c>
      <c r="O39" s="137"/>
      <c r="P39" s="137">
        <f>SUM(P31:P37)</f>
        <v>134909000</v>
      </c>
      <c r="Q39" s="136"/>
      <c r="R39" s="137">
        <f>SUM(R31:R37)</f>
        <v>-42510000</v>
      </c>
      <c r="S39" s="136"/>
      <c r="T39" s="137">
        <f>SUM(T31:T37)</f>
        <v>92399000</v>
      </c>
      <c r="U39" s="132"/>
      <c r="V39" s="132"/>
    </row>
    <row r="40" spans="1:22" ht="15">
      <c r="A40" s="91"/>
      <c r="B40" s="138"/>
      <c r="C40" s="260"/>
      <c r="D40" s="138"/>
      <c r="E40" s="260"/>
      <c r="F40" s="139"/>
      <c r="G40" s="139"/>
      <c r="H40" s="128"/>
      <c r="I40" s="129"/>
      <c r="J40" s="128"/>
      <c r="K40" s="129"/>
      <c r="L40" s="138"/>
      <c r="M40" s="128"/>
      <c r="N40" s="130"/>
      <c r="O40" s="130"/>
      <c r="P40" s="109"/>
      <c r="Q40" s="132"/>
      <c r="R40" s="132"/>
      <c r="S40" s="132"/>
      <c r="T40" s="132"/>
      <c r="U40" s="132"/>
      <c r="V40" s="132"/>
    </row>
    <row r="41" spans="1:22" ht="18">
      <c r="A41" s="91" t="s">
        <v>127</v>
      </c>
      <c r="B41" s="138"/>
      <c r="C41" s="138"/>
      <c r="D41" s="138"/>
      <c r="E41" s="138"/>
      <c r="F41" s="139"/>
      <c r="G41" s="139"/>
      <c r="H41" s="128"/>
      <c r="I41" s="128"/>
      <c r="J41" s="128"/>
      <c r="K41" s="128"/>
      <c r="L41" s="138"/>
      <c r="M41" s="128"/>
      <c r="N41" s="130"/>
      <c r="O41" s="130"/>
      <c r="P41" s="109"/>
      <c r="Q41" s="132"/>
      <c r="R41" s="132"/>
      <c r="S41" s="132"/>
      <c r="T41" s="132"/>
      <c r="U41" s="132"/>
      <c r="V41" s="132"/>
    </row>
    <row r="42" spans="1:22" ht="18">
      <c r="A42" s="108" t="s">
        <v>133</v>
      </c>
      <c r="B42" s="138"/>
      <c r="C42" s="138"/>
      <c r="D42" s="138"/>
      <c r="E42" s="138"/>
      <c r="F42" s="139"/>
      <c r="G42" s="139"/>
      <c r="H42" s="128"/>
      <c r="I42" s="128"/>
      <c r="J42" s="128"/>
      <c r="K42" s="128"/>
      <c r="L42" s="138"/>
      <c r="M42" s="128"/>
      <c r="N42" s="130"/>
      <c r="O42" s="130"/>
      <c r="P42" s="109"/>
      <c r="Q42" s="132"/>
      <c r="R42" s="132"/>
      <c r="S42" s="132"/>
      <c r="T42" s="132"/>
      <c r="U42" s="132"/>
      <c r="V42" s="132"/>
    </row>
    <row r="43" spans="1:22" ht="20.25" customHeight="1">
      <c r="A43" s="108"/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105"/>
      <c r="N43" s="94"/>
      <c r="O43" s="128"/>
      <c r="P43" s="109"/>
      <c r="Q43" s="132"/>
      <c r="R43" s="132"/>
      <c r="S43" s="132"/>
      <c r="T43" s="132"/>
      <c r="U43" s="132"/>
      <c r="V43" s="132"/>
    </row>
    <row r="44" spans="1:22" ht="15">
      <c r="A44" s="48"/>
      <c r="B44" s="109"/>
      <c r="C44" s="140"/>
      <c r="D44" s="140"/>
      <c r="E44" s="140"/>
      <c r="F44" s="140"/>
      <c r="G44" s="140"/>
      <c r="H44" s="140"/>
      <c r="I44" s="140"/>
      <c r="J44" s="140"/>
      <c r="K44" s="140"/>
      <c r="L44" s="109"/>
      <c r="M44" s="127"/>
      <c r="N44" s="109"/>
      <c r="O44" s="127"/>
      <c r="P44" s="109"/>
      <c r="Q44" s="132"/>
      <c r="R44" s="132"/>
      <c r="S44" s="132"/>
      <c r="T44" s="132"/>
      <c r="U44" s="132"/>
      <c r="V44" s="132"/>
    </row>
    <row r="45" spans="1:22" ht="15">
      <c r="A45" s="48"/>
      <c r="B45" s="109"/>
      <c r="C45" s="140"/>
      <c r="D45" s="140"/>
      <c r="E45" s="140"/>
      <c r="F45" s="140"/>
      <c r="G45" s="140"/>
      <c r="H45" s="140"/>
      <c r="I45" s="140"/>
      <c r="J45" s="140"/>
      <c r="K45" s="140"/>
      <c r="L45" s="109"/>
      <c r="M45" s="127"/>
      <c r="N45" s="109"/>
      <c r="O45" s="127"/>
      <c r="P45" s="109"/>
      <c r="Q45" s="132"/>
      <c r="R45" s="132"/>
      <c r="S45" s="132"/>
      <c r="T45" s="132"/>
      <c r="U45" s="132"/>
      <c r="V45" s="132"/>
    </row>
    <row r="46" spans="1:22" ht="15">
      <c r="A46" s="48"/>
      <c r="B46" s="109"/>
      <c r="C46" s="140"/>
      <c r="D46" s="140"/>
      <c r="E46" s="140"/>
      <c r="F46" s="140"/>
      <c r="G46" s="140"/>
      <c r="H46" s="140"/>
      <c r="I46" s="140"/>
      <c r="J46" s="140"/>
      <c r="K46" s="140"/>
      <c r="L46" s="109"/>
      <c r="M46" s="127"/>
      <c r="N46" s="109"/>
      <c r="O46" s="127"/>
      <c r="P46" s="109"/>
      <c r="Q46" s="132"/>
      <c r="R46" s="132"/>
      <c r="S46" s="132"/>
      <c r="T46" s="132"/>
      <c r="U46" s="132"/>
      <c r="V46" s="132"/>
    </row>
    <row r="47" spans="1:22" ht="15">
      <c r="A47" s="48"/>
      <c r="B47" s="109"/>
      <c r="C47" s="140"/>
      <c r="D47" s="140"/>
      <c r="E47" s="140"/>
      <c r="F47" s="140"/>
      <c r="G47" s="140"/>
      <c r="H47" s="140"/>
      <c r="I47" s="140"/>
      <c r="J47" s="140"/>
      <c r="K47" s="140"/>
      <c r="L47" s="109"/>
      <c r="M47" s="127"/>
      <c r="N47" s="109"/>
      <c r="O47" s="127"/>
      <c r="P47" s="109"/>
      <c r="Q47" s="132"/>
      <c r="R47" s="132"/>
      <c r="S47" s="132"/>
      <c r="T47" s="132"/>
      <c r="U47" s="132"/>
      <c r="V47" s="132"/>
    </row>
    <row r="48" spans="1:22" ht="15">
      <c r="A48" s="48"/>
      <c r="B48" s="109"/>
      <c r="C48" s="140"/>
      <c r="D48" s="140"/>
      <c r="E48" s="140"/>
      <c r="F48" s="140"/>
      <c r="G48" s="140"/>
      <c r="H48" s="140"/>
      <c r="I48" s="140"/>
      <c r="J48" s="140"/>
      <c r="K48" s="140"/>
      <c r="L48" s="109"/>
      <c r="M48" s="127"/>
      <c r="N48" s="109"/>
      <c r="O48" s="127"/>
      <c r="P48" s="109"/>
      <c r="Q48" s="132"/>
      <c r="R48" s="132"/>
      <c r="S48" s="132"/>
      <c r="T48" s="132"/>
      <c r="U48" s="132"/>
      <c r="V48" s="132"/>
    </row>
    <row r="49" spans="1:22" ht="15">
      <c r="A49" s="48"/>
      <c r="B49" s="109"/>
      <c r="C49" s="140"/>
      <c r="D49" s="140"/>
      <c r="E49" s="140"/>
      <c r="F49" s="140"/>
      <c r="G49" s="140"/>
      <c r="H49" s="140"/>
      <c r="I49" s="140"/>
      <c r="J49" s="140"/>
      <c r="K49" s="140"/>
      <c r="L49" s="109"/>
      <c r="M49" s="127"/>
      <c r="N49" s="109"/>
      <c r="O49" s="127"/>
      <c r="P49" s="109"/>
      <c r="Q49" s="132"/>
      <c r="R49" s="132"/>
      <c r="S49" s="132"/>
      <c r="T49" s="132"/>
      <c r="U49" s="132"/>
      <c r="V49" s="132"/>
    </row>
    <row r="50" spans="1:22" ht="15">
      <c r="A50" s="48"/>
      <c r="B50" s="109"/>
      <c r="C50" s="140"/>
      <c r="D50" s="140"/>
      <c r="E50" s="140"/>
      <c r="F50" s="140"/>
      <c r="G50" s="140"/>
      <c r="H50" s="140"/>
      <c r="I50" s="140"/>
      <c r="J50" s="140"/>
      <c r="K50" s="140"/>
      <c r="L50" s="109"/>
      <c r="M50" s="127"/>
      <c r="N50" s="109"/>
      <c r="O50" s="127"/>
      <c r="P50" s="109"/>
      <c r="Q50" s="132"/>
      <c r="R50" s="132"/>
      <c r="S50" s="132"/>
      <c r="T50" s="132"/>
      <c r="U50" s="132"/>
      <c r="V50" s="132"/>
    </row>
    <row r="51" spans="1:22" ht="15">
      <c r="A51" s="48"/>
      <c r="B51" s="109"/>
      <c r="C51" s="140"/>
      <c r="D51" s="140"/>
      <c r="E51" s="140"/>
      <c r="F51" s="140"/>
      <c r="G51" s="140"/>
      <c r="H51" s="140"/>
      <c r="I51" s="140"/>
      <c r="J51" s="140"/>
      <c r="K51" s="140"/>
      <c r="L51" s="109"/>
      <c r="M51" s="127"/>
      <c r="N51" s="109"/>
      <c r="O51" s="127"/>
      <c r="P51" s="109"/>
      <c r="Q51" s="132"/>
      <c r="R51" s="132"/>
      <c r="S51" s="132"/>
      <c r="T51" s="132"/>
      <c r="U51" s="132"/>
      <c r="V51" s="132"/>
    </row>
    <row r="52" spans="1:22" ht="15">
      <c r="A52" s="48"/>
      <c r="B52" s="109"/>
      <c r="C52" s="140"/>
      <c r="D52" s="140"/>
      <c r="E52" s="140"/>
      <c r="F52" s="140"/>
      <c r="G52" s="140"/>
      <c r="H52" s="140"/>
      <c r="I52" s="140"/>
      <c r="J52" s="140"/>
      <c r="K52" s="140"/>
      <c r="L52" s="109"/>
      <c r="M52" s="127"/>
      <c r="N52" s="109"/>
      <c r="O52" s="127"/>
      <c r="P52" s="109"/>
      <c r="Q52" s="132"/>
      <c r="R52" s="132"/>
      <c r="S52" s="132"/>
      <c r="T52" s="132"/>
      <c r="U52" s="132"/>
      <c r="V52" s="132"/>
    </row>
    <row r="53" spans="1:22" ht="15">
      <c r="A53" s="48"/>
      <c r="B53" s="109"/>
      <c r="C53" s="140"/>
      <c r="D53" s="140"/>
      <c r="E53" s="140"/>
      <c r="F53" s="140"/>
      <c r="G53" s="140"/>
      <c r="H53" s="140"/>
      <c r="I53" s="140"/>
      <c r="J53" s="140"/>
      <c r="K53" s="140"/>
      <c r="L53" s="109"/>
      <c r="M53" s="127"/>
      <c r="N53" s="109"/>
      <c r="O53" s="127"/>
      <c r="P53" s="109"/>
      <c r="Q53" s="132"/>
      <c r="R53" s="132"/>
      <c r="S53" s="132"/>
      <c r="T53" s="132"/>
      <c r="U53" s="132"/>
      <c r="V53" s="132"/>
    </row>
    <row r="54" spans="1:16" ht="15">
      <c r="A54" s="48"/>
      <c r="B54" s="48"/>
      <c r="D54" s="92"/>
      <c r="E54" s="92"/>
      <c r="F54" s="92"/>
      <c r="G54" s="92"/>
      <c r="H54" s="92"/>
      <c r="I54" s="92"/>
      <c r="J54" s="92"/>
      <c r="K54" s="92"/>
      <c r="L54" s="48"/>
      <c r="M54" s="88"/>
      <c r="N54" s="48"/>
      <c r="O54" s="88"/>
      <c r="P54" s="48"/>
    </row>
    <row r="55" spans="1:16" ht="15">
      <c r="A55" s="48"/>
      <c r="B55" s="48"/>
      <c r="D55" s="92"/>
      <c r="E55" s="92"/>
      <c r="F55" s="92"/>
      <c r="G55" s="92"/>
      <c r="H55" s="92"/>
      <c r="I55" s="92"/>
      <c r="J55" s="92"/>
      <c r="K55" s="92"/>
      <c r="L55" s="48"/>
      <c r="M55" s="88"/>
      <c r="N55" s="48"/>
      <c r="O55" s="88"/>
      <c r="P55" s="48"/>
    </row>
  </sheetData>
  <sheetProtection/>
  <mergeCells count="2">
    <mergeCell ref="B4:F4"/>
    <mergeCell ref="N4:T4"/>
  </mergeCells>
  <printOptions/>
  <pageMargins left="1" right="0.5" top="0.5" bottom="0.25" header="0.5" footer="0.5"/>
  <pageSetup fitToHeight="1" fitToWidth="1" horizontalDpi="600" verticalDpi="600" orientation="landscape" paperSize="5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pane xSplit="3" ySplit="7" topLeftCell="D1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" sqref="B2"/>
    </sheetView>
  </sheetViews>
  <sheetFormatPr defaultColWidth="9.33203125" defaultRowHeight="12.75"/>
  <cols>
    <col min="1" max="1" width="3.83203125" style="186" customWidth="1"/>
    <col min="2" max="2" width="8.33203125" style="185" bestFit="1" customWidth="1"/>
    <col min="3" max="3" width="20.5" style="186" bestFit="1" customWidth="1"/>
    <col min="4" max="4" width="14" style="186" bestFit="1" customWidth="1"/>
    <col min="5" max="5" width="9.83203125" style="186" bestFit="1" customWidth="1"/>
    <col min="6" max="6" width="14" style="186" bestFit="1" customWidth="1"/>
    <col min="7" max="7" width="9.83203125" style="185" bestFit="1" customWidth="1"/>
    <col min="8" max="8" width="14" style="186" bestFit="1" customWidth="1"/>
    <col min="9" max="9" width="11" style="186" bestFit="1" customWidth="1"/>
    <col min="10" max="10" width="14.16015625" style="186" bestFit="1" customWidth="1"/>
    <col min="11" max="11" width="11" style="186" bestFit="1" customWidth="1"/>
    <col min="12" max="12" width="15.83203125" style="186" customWidth="1"/>
    <col min="13" max="13" width="13.5" style="186" customWidth="1"/>
    <col min="14" max="14" width="16.16015625" style="186" customWidth="1"/>
    <col min="15" max="16384" width="9.33203125" style="186" customWidth="1"/>
  </cols>
  <sheetData>
    <row r="1" ht="16.5">
      <c r="A1" s="184" t="s">
        <v>157</v>
      </c>
    </row>
    <row r="2" ht="19.5">
      <c r="A2" s="156"/>
    </row>
    <row r="3" spans="1:10" ht="15.75">
      <c r="A3" s="187"/>
      <c r="D3" s="188">
        <v>-1</v>
      </c>
      <c r="E3" s="188"/>
      <c r="F3" s="188"/>
      <c r="G3" s="188"/>
      <c r="H3" s="188"/>
      <c r="I3" s="188"/>
      <c r="J3" s="188">
        <v>-2</v>
      </c>
    </row>
    <row r="4" spans="2:12" ht="12.75">
      <c r="B4" s="189"/>
      <c r="C4" s="190"/>
      <c r="D4" s="191"/>
      <c r="E4" s="191"/>
      <c r="F4" s="340" t="s">
        <v>136</v>
      </c>
      <c r="G4" s="341"/>
      <c r="H4" s="341"/>
      <c r="I4" s="341"/>
      <c r="J4" s="341"/>
      <c r="K4" s="341"/>
      <c r="L4" s="342"/>
    </row>
    <row r="5" spans="2:12" s="192" customFormat="1" ht="64.5" thickBot="1">
      <c r="B5" s="193" t="s">
        <v>50</v>
      </c>
      <c r="C5" s="194"/>
      <c r="D5" s="195" t="s">
        <v>107</v>
      </c>
      <c r="E5" s="195"/>
      <c r="F5" s="343" t="s">
        <v>134</v>
      </c>
      <c r="G5" s="344"/>
      <c r="H5" s="196" t="s">
        <v>137</v>
      </c>
      <c r="I5" s="197"/>
      <c r="J5" s="345" t="s">
        <v>114</v>
      </c>
      <c r="K5" s="345"/>
      <c r="L5" s="198" t="s">
        <v>108</v>
      </c>
    </row>
    <row r="6" spans="2:12" ht="12.75">
      <c r="B6" s="199"/>
      <c r="D6" s="200"/>
      <c r="E6" s="201"/>
      <c r="F6" s="346" t="s">
        <v>51</v>
      </c>
      <c r="G6" s="347"/>
      <c r="H6" s="202" t="s">
        <v>51</v>
      </c>
      <c r="I6" s="203"/>
      <c r="J6" s="348"/>
      <c r="K6" s="349"/>
      <c r="L6" s="204"/>
    </row>
    <row r="7" spans="2:12" ht="12.75">
      <c r="B7" s="199"/>
      <c r="C7" s="186" t="s">
        <v>52</v>
      </c>
      <c r="D7" s="185" t="s">
        <v>53</v>
      </c>
      <c r="E7" s="185" t="s">
        <v>54</v>
      </c>
      <c r="F7" s="205" t="s">
        <v>55</v>
      </c>
      <c r="G7" s="206" t="s">
        <v>54</v>
      </c>
      <c r="H7" s="205" t="s">
        <v>55</v>
      </c>
      <c r="I7" s="185" t="s">
        <v>54</v>
      </c>
      <c r="J7" s="207" t="s">
        <v>55</v>
      </c>
      <c r="K7" s="208" t="s">
        <v>54</v>
      </c>
      <c r="L7" s="209"/>
    </row>
    <row r="8" spans="1:12" ht="15">
      <c r="A8" s="210"/>
      <c r="B8" s="211"/>
      <c r="C8" s="210"/>
      <c r="D8" s="210"/>
      <c r="E8" s="210"/>
      <c r="F8" s="212"/>
      <c r="G8" s="213"/>
      <c r="H8" s="212"/>
      <c r="I8" s="214"/>
      <c r="J8" s="212"/>
      <c r="K8" s="213"/>
      <c r="L8" s="215" t="s">
        <v>56</v>
      </c>
    </row>
    <row r="9" spans="1:13" ht="15">
      <c r="A9" s="210"/>
      <c r="B9" s="216" t="s">
        <v>57</v>
      </c>
      <c r="C9" s="210" t="s">
        <v>58</v>
      </c>
      <c r="D9" s="218">
        <v>7183400</v>
      </c>
      <c r="E9" s="217">
        <f aca="true" t="shared" si="0" ref="E9:E31">D9/$D$33</f>
        <v>0.0229</v>
      </c>
      <c r="F9" s="272">
        <f>ROUND(9465819/100,0)*100</f>
        <v>9465800</v>
      </c>
      <c r="G9" s="273">
        <f aca="true" t="shared" si="1" ref="G9:G31">F9/$F$33</f>
        <v>0.023344</v>
      </c>
      <c r="H9" s="276">
        <f>ROUND(9562647/100,0)*100+100</f>
        <v>9562700</v>
      </c>
      <c r="I9" s="219">
        <f aca="true" t="shared" si="2" ref="I9:I31">H9/$H$33</f>
        <v>0.0242405</v>
      </c>
      <c r="J9" s="218">
        <f>ROUND((356190800)*K9/100,0)*100</f>
        <v>8634200</v>
      </c>
      <c r="K9" s="219">
        <f>I9</f>
        <v>0.0242405</v>
      </c>
      <c r="L9" s="220">
        <f>J9-D9</f>
        <v>1450800</v>
      </c>
      <c r="M9" s="221"/>
    </row>
    <row r="10" spans="1:13" ht="15">
      <c r="A10" s="210"/>
      <c r="B10" s="216">
        <v>73</v>
      </c>
      <c r="C10" s="210" t="s">
        <v>1</v>
      </c>
      <c r="D10" s="221">
        <v>1985200</v>
      </c>
      <c r="E10" s="217">
        <f t="shared" si="0"/>
        <v>0.006329</v>
      </c>
      <c r="F10" s="274">
        <f>ROUND(3032618/100,0)*100</f>
        <v>3032600</v>
      </c>
      <c r="G10" s="273">
        <f t="shared" si="1"/>
        <v>0.007479</v>
      </c>
      <c r="H10" s="277">
        <f>ROUND(2560240/100,0)*100</f>
        <v>2560200</v>
      </c>
      <c r="I10" s="219">
        <f t="shared" si="2"/>
        <v>0.0064898</v>
      </c>
      <c r="J10" s="221">
        <f aca="true" t="shared" si="3" ref="J10:J30">ROUND((356190800)*K10/100,0)*100</f>
        <v>2311600</v>
      </c>
      <c r="K10" s="219">
        <f aca="true" t="shared" si="4" ref="K10:K31">I10</f>
        <v>0.0064898</v>
      </c>
      <c r="L10" s="223">
        <f>J10-D10</f>
        <v>326400</v>
      </c>
      <c r="M10" s="221"/>
    </row>
    <row r="11" spans="1:13" ht="15">
      <c r="A11" s="210"/>
      <c r="B11" s="216" t="s">
        <v>59</v>
      </c>
      <c r="C11" s="210" t="s">
        <v>60</v>
      </c>
      <c r="D11" s="221">
        <v>11394800</v>
      </c>
      <c r="E11" s="217">
        <f t="shared" si="0"/>
        <v>0.036326</v>
      </c>
      <c r="F11" s="274">
        <f>ROUND(14369517/100,0)*100</f>
        <v>14369500</v>
      </c>
      <c r="G11" s="273">
        <f t="shared" si="1"/>
        <v>0.035437</v>
      </c>
      <c r="H11" s="277">
        <f>ROUND(13675529/100,0)*100</f>
        <v>13675500</v>
      </c>
      <c r="I11" s="219">
        <f t="shared" si="2"/>
        <v>0.034666</v>
      </c>
      <c r="J11" s="221">
        <f t="shared" si="3"/>
        <v>12347700</v>
      </c>
      <c r="K11" s="219">
        <f t="shared" si="4"/>
        <v>0.034666</v>
      </c>
      <c r="L11" s="223">
        <f>J11-D11</f>
        <v>952900</v>
      </c>
      <c r="M11" s="221"/>
    </row>
    <row r="12" spans="1:13" ht="15">
      <c r="A12" s="210"/>
      <c r="B12" s="216" t="s">
        <v>61</v>
      </c>
      <c r="C12" s="210" t="s">
        <v>62</v>
      </c>
      <c r="D12" s="221">
        <v>13049200</v>
      </c>
      <c r="E12" s="217">
        <f t="shared" si="0"/>
        <v>0.0416</v>
      </c>
      <c r="F12" s="275">
        <f>ROUND(17414153/100,0)*100</f>
        <v>17414200</v>
      </c>
      <c r="G12" s="273">
        <f t="shared" si="1"/>
        <v>0.042946</v>
      </c>
      <c r="H12" s="277">
        <f>ROUND(17820885/100,0)*100</f>
        <v>17820900</v>
      </c>
      <c r="I12" s="219">
        <f t="shared" si="2"/>
        <v>0.0451742</v>
      </c>
      <c r="J12" s="221">
        <f t="shared" si="3"/>
        <v>16090600</v>
      </c>
      <c r="K12" s="219">
        <f t="shared" si="4"/>
        <v>0.0451742</v>
      </c>
      <c r="L12" s="223">
        <f aca="true" t="shared" si="5" ref="L12:L31">J12-D12</f>
        <v>3041400</v>
      </c>
      <c r="M12" s="221"/>
    </row>
    <row r="13" spans="1:13" ht="15">
      <c r="A13" s="210"/>
      <c r="B13" s="216" t="s">
        <v>63</v>
      </c>
      <c r="C13" s="210" t="s">
        <v>30</v>
      </c>
      <c r="D13" s="221">
        <v>9639100</v>
      </c>
      <c r="E13" s="217">
        <f t="shared" si="0"/>
        <v>0.030729</v>
      </c>
      <c r="F13" s="275">
        <f>ROUND(12141109/100,0)*100</f>
        <v>12141100</v>
      </c>
      <c r="G13" s="273">
        <f t="shared" si="1"/>
        <v>0.029941</v>
      </c>
      <c r="H13" s="277">
        <f>ROUND(12427638/100,0)*100</f>
        <v>12427600</v>
      </c>
      <c r="I13" s="219">
        <f t="shared" si="2"/>
        <v>0.0315027</v>
      </c>
      <c r="J13" s="221">
        <f t="shared" si="3"/>
        <v>11221000</v>
      </c>
      <c r="K13" s="219">
        <f t="shared" si="4"/>
        <v>0.0315027</v>
      </c>
      <c r="L13" s="223">
        <f t="shared" si="5"/>
        <v>1581900</v>
      </c>
      <c r="M13" s="221"/>
    </row>
    <row r="14" spans="1:13" ht="15">
      <c r="A14" s="210"/>
      <c r="B14" s="216" t="s">
        <v>64</v>
      </c>
      <c r="C14" s="210" t="s">
        <v>65</v>
      </c>
      <c r="D14" s="221">
        <v>18610700</v>
      </c>
      <c r="E14" s="217">
        <f t="shared" si="0"/>
        <v>0.05933</v>
      </c>
      <c r="F14" s="275">
        <f>ROUND(23219701/100,0)*100</f>
        <v>23219700</v>
      </c>
      <c r="G14" s="273">
        <f t="shared" si="1"/>
        <v>0.057263</v>
      </c>
      <c r="H14" s="277">
        <f>ROUND(22961082/100,0)*100</f>
        <v>22961100</v>
      </c>
      <c r="I14" s="219">
        <f t="shared" si="2"/>
        <v>0.058204</v>
      </c>
      <c r="J14" s="221">
        <f t="shared" si="3"/>
        <v>20731700</v>
      </c>
      <c r="K14" s="219">
        <f t="shared" si="4"/>
        <v>0.058204</v>
      </c>
      <c r="L14" s="223">
        <f t="shared" si="5"/>
        <v>2121000</v>
      </c>
      <c r="M14" s="221"/>
    </row>
    <row r="15" spans="1:13" ht="15">
      <c r="A15" s="210"/>
      <c r="B15" s="216" t="s">
        <v>66</v>
      </c>
      <c r="C15" s="210" t="s">
        <v>67</v>
      </c>
      <c r="D15" s="221">
        <v>23306600</v>
      </c>
      <c r="E15" s="217">
        <f t="shared" si="0"/>
        <v>0.0743</v>
      </c>
      <c r="F15" s="275">
        <f>ROUND(29995382/100,0)*100</f>
        <v>29995400</v>
      </c>
      <c r="G15" s="273">
        <f t="shared" si="1"/>
        <v>0.073972</v>
      </c>
      <c r="H15" s="277">
        <f>ROUND(28464787/100,0)*100</f>
        <v>28464800</v>
      </c>
      <c r="I15" s="219">
        <f t="shared" si="2"/>
        <v>0.0721554</v>
      </c>
      <c r="J15" s="221">
        <f t="shared" si="3"/>
        <v>25701100</v>
      </c>
      <c r="K15" s="219">
        <f t="shared" si="4"/>
        <v>0.0721554</v>
      </c>
      <c r="L15" s="223">
        <f t="shared" si="5"/>
        <v>2394500</v>
      </c>
      <c r="M15" s="221"/>
    </row>
    <row r="16" spans="1:13" ht="15">
      <c r="A16" s="210"/>
      <c r="B16" s="216" t="s">
        <v>68</v>
      </c>
      <c r="C16" s="210" t="s">
        <v>69</v>
      </c>
      <c r="D16" s="221">
        <v>8312500</v>
      </c>
      <c r="E16" s="217">
        <f t="shared" si="0"/>
        <v>0.0265</v>
      </c>
      <c r="F16" s="275">
        <f>ROUND(9954258/100,0)*100</f>
        <v>9954300</v>
      </c>
      <c r="G16" s="273">
        <f t="shared" si="1"/>
        <v>0.024549</v>
      </c>
      <c r="H16" s="277">
        <f>ROUND(9934210/100,0)*100</f>
        <v>9934200</v>
      </c>
      <c r="I16" s="219">
        <f t="shared" si="2"/>
        <v>0.0251822</v>
      </c>
      <c r="J16" s="221">
        <f t="shared" si="3"/>
        <v>8969700</v>
      </c>
      <c r="K16" s="219">
        <f t="shared" si="4"/>
        <v>0.0251822</v>
      </c>
      <c r="L16" s="223">
        <f t="shared" si="5"/>
        <v>657200</v>
      </c>
      <c r="M16" s="221"/>
    </row>
    <row r="17" spans="1:13" ht="15">
      <c r="A17" s="210"/>
      <c r="B17" s="216" t="s">
        <v>70</v>
      </c>
      <c r="C17" s="210" t="s">
        <v>71</v>
      </c>
      <c r="D17" s="221">
        <v>27353000</v>
      </c>
      <c r="E17" s="217">
        <f t="shared" si="0"/>
        <v>0.0872</v>
      </c>
      <c r="F17" s="275">
        <f>ROUND(34838923/100,0)*100</f>
        <v>34838900</v>
      </c>
      <c r="G17" s="273">
        <f t="shared" si="1"/>
        <v>0.085917</v>
      </c>
      <c r="H17" s="277">
        <f>ROUND(33271061/100,0)*100</f>
        <v>33271100</v>
      </c>
      <c r="I17" s="219">
        <f t="shared" si="2"/>
        <v>0.0843388</v>
      </c>
      <c r="J17" s="221">
        <f t="shared" si="3"/>
        <v>30040700</v>
      </c>
      <c r="K17" s="219">
        <f t="shared" si="4"/>
        <v>0.0843388</v>
      </c>
      <c r="L17" s="223">
        <f t="shared" si="5"/>
        <v>2687700</v>
      </c>
      <c r="M17" s="221"/>
    </row>
    <row r="18" spans="1:13" ht="15">
      <c r="A18" s="210"/>
      <c r="B18" s="216" t="s">
        <v>72</v>
      </c>
      <c r="C18" s="210" t="s">
        <v>73</v>
      </c>
      <c r="D18" s="221">
        <v>21153900</v>
      </c>
      <c r="E18" s="217">
        <f t="shared" si="0"/>
        <v>0.067438</v>
      </c>
      <c r="F18" s="275">
        <f>ROUND(27841597/100,0)*100</f>
        <v>27841600</v>
      </c>
      <c r="G18" s="273">
        <f t="shared" si="1"/>
        <v>0.068661</v>
      </c>
      <c r="H18" s="277">
        <f>ROUND(27476120/100,0)*100</f>
        <v>27476100</v>
      </c>
      <c r="I18" s="219">
        <f t="shared" si="2"/>
        <v>0.0696491</v>
      </c>
      <c r="J18" s="221">
        <f t="shared" si="3"/>
        <v>24808400</v>
      </c>
      <c r="K18" s="219">
        <f t="shared" si="4"/>
        <v>0.0696491</v>
      </c>
      <c r="L18" s="223">
        <f t="shared" si="5"/>
        <v>3654500</v>
      </c>
      <c r="M18" s="221"/>
    </row>
    <row r="19" spans="1:13" ht="15">
      <c r="A19" s="210"/>
      <c r="B19" s="216" t="s">
        <v>74</v>
      </c>
      <c r="C19" s="210" t="s">
        <v>9</v>
      </c>
      <c r="D19" s="221">
        <v>429300</v>
      </c>
      <c r="E19" s="217">
        <f t="shared" si="0"/>
        <v>0.001369</v>
      </c>
      <c r="F19" s="275">
        <f>ROUND(568475/100,0)*100</f>
        <v>568500</v>
      </c>
      <c r="G19" s="273">
        <f t="shared" si="1"/>
        <v>0.001402</v>
      </c>
      <c r="H19" s="277">
        <f>ROUND(533254/100,0)*100</f>
        <v>533300</v>
      </c>
      <c r="I19" s="219">
        <f t="shared" si="2"/>
        <v>0.0013519</v>
      </c>
      <c r="J19" s="221">
        <f t="shared" si="3"/>
        <v>481500</v>
      </c>
      <c r="K19" s="219">
        <f t="shared" si="4"/>
        <v>0.0013519</v>
      </c>
      <c r="L19" s="223">
        <f t="shared" si="5"/>
        <v>52200</v>
      </c>
      <c r="M19" s="221"/>
    </row>
    <row r="20" spans="1:13" ht="15">
      <c r="A20" s="210"/>
      <c r="B20" s="216" t="s">
        <v>75</v>
      </c>
      <c r="C20" s="210" t="s">
        <v>10</v>
      </c>
      <c r="D20" s="221">
        <v>3031400</v>
      </c>
      <c r="E20" s="217">
        <f t="shared" si="0"/>
        <v>0.009664</v>
      </c>
      <c r="F20" s="275">
        <f>ROUND(4328090/100,0)*100</f>
        <v>4328100</v>
      </c>
      <c r="G20" s="273">
        <f t="shared" si="1"/>
        <v>0.010674</v>
      </c>
      <c r="H20" s="277">
        <f>ROUND(4218171/100,0)*100</f>
        <v>4218200</v>
      </c>
      <c r="I20" s="219">
        <f t="shared" si="2"/>
        <v>0.0106927</v>
      </c>
      <c r="J20" s="221">
        <f t="shared" si="3"/>
        <v>3808600</v>
      </c>
      <c r="K20" s="219">
        <f t="shared" si="4"/>
        <v>0.0106927</v>
      </c>
      <c r="L20" s="223">
        <f t="shared" si="5"/>
        <v>777200</v>
      </c>
      <c r="M20" s="221"/>
    </row>
    <row r="21" spans="1:13" ht="15">
      <c r="A21" s="210"/>
      <c r="B21" s="216" t="s">
        <v>76</v>
      </c>
      <c r="C21" s="210" t="s">
        <v>77</v>
      </c>
      <c r="D21" s="221">
        <v>27412500</v>
      </c>
      <c r="E21" s="217">
        <f t="shared" si="0"/>
        <v>0.08739</v>
      </c>
      <c r="F21" s="275">
        <f>ROUND(35045285/100,0)*100</f>
        <v>35045300</v>
      </c>
      <c r="G21" s="273">
        <f t="shared" si="1"/>
        <v>0.086426</v>
      </c>
      <c r="H21" s="277">
        <f>ROUND(33756541/100,0)*100</f>
        <v>33756500</v>
      </c>
      <c r="I21" s="219">
        <f t="shared" si="2"/>
        <v>0.0855693</v>
      </c>
      <c r="J21" s="221">
        <f t="shared" si="3"/>
        <v>30479000</v>
      </c>
      <c r="K21" s="219">
        <f t="shared" si="4"/>
        <v>0.0855693</v>
      </c>
      <c r="L21" s="223">
        <f t="shared" si="5"/>
        <v>3066500</v>
      </c>
      <c r="M21" s="221"/>
    </row>
    <row r="22" spans="1:13" ht="15">
      <c r="A22" s="210"/>
      <c r="B22" s="216" t="s">
        <v>78</v>
      </c>
      <c r="C22" s="210" t="s">
        <v>79</v>
      </c>
      <c r="D22" s="221">
        <v>15930700</v>
      </c>
      <c r="E22" s="217">
        <f t="shared" si="0"/>
        <v>0.050786</v>
      </c>
      <c r="F22" s="275">
        <f>ROUND(20194148/100,0)*100</f>
        <v>20194100</v>
      </c>
      <c r="G22" s="273">
        <f t="shared" si="1"/>
        <v>0.049801</v>
      </c>
      <c r="H22" s="277">
        <f>ROUND(19437689/100,0)*100</f>
        <v>19437700</v>
      </c>
      <c r="I22" s="219">
        <f t="shared" si="2"/>
        <v>0.0492726</v>
      </c>
      <c r="J22" s="221">
        <f t="shared" si="3"/>
        <v>17550400</v>
      </c>
      <c r="K22" s="219">
        <f t="shared" si="4"/>
        <v>0.0492726</v>
      </c>
      <c r="L22" s="223">
        <f t="shared" si="5"/>
        <v>1619700</v>
      </c>
      <c r="M22" s="221"/>
    </row>
    <row r="23" spans="1:13" ht="15">
      <c r="A23" s="210"/>
      <c r="B23" s="216" t="s">
        <v>80</v>
      </c>
      <c r="C23" s="210" t="s">
        <v>81</v>
      </c>
      <c r="D23" s="221">
        <v>20574600</v>
      </c>
      <c r="E23" s="217">
        <f t="shared" si="0"/>
        <v>0.065591</v>
      </c>
      <c r="F23" s="275">
        <f>ROUND(25893158/100,0)*100</f>
        <v>25893200</v>
      </c>
      <c r="G23" s="273">
        <f t="shared" si="1"/>
        <v>0.063856</v>
      </c>
      <c r="H23" s="277">
        <f>ROUND(26124029/100,0)*100</f>
        <v>26124000</v>
      </c>
      <c r="I23" s="219">
        <f t="shared" si="2"/>
        <v>0.0662217</v>
      </c>
      <c r="J23" s="221">
        <f t="shared" si="3"/>
        <v>23587600</v>
      </c>
      <c r="K23" s="219">
        <f t="shared" si="4"/>
        <v>0.0662217</v>
      </c>
      <c r="L23" s="223">
        <f t="shared" si="5"/>
        <v>3013000</v>
      </c>
      <c r="M23" s="221"/>
    </row>
    <row r="24" spans="1:13" ht="15">
      <c r="A24" s="210"/>
      <c r="B24" s="216" t="s">
        <v>82</v>
      </c>
      <c r="C24" s="210" t="s">
        <v>83</v>
      </c>
      <c r="D24" s="221">
        <v>17212400</v>
      </c>
      <c r="E24" s="217">
        <f t="shared" si="0"/>
        <v>0.054872</v>
      </c>
      <c r="F24" s="275">
        <f>ROUND(22134051/100,0)*100-100</f>
        <v>22134000</v>
      </c>
      <c r="G24" s="273">
        <f t="shared" si="1"/>
        <v>0.054585</v>
      </c>
      <c r="H24" s="277">
        <f>ROUND(22462202/100,0)*100</f>
        <v>22462200</v>
      </c>
      <c r="I24" s="219">
        <f t="shared" si="2"/>
        <v>0.0569394</v>
      </c>
      <c r="J24" s="221">
        <f t="shared" si="3"/>
        <v>20281300</v>
      </c>
      <c r="K24" s="219">
        <f t="shared" si="4"/>
        <v>0.0569394</v>
      </c>
      <c r="L24" s="223">
        <f t="shared" si="5"/>
        <v>3068900</v>
      </c>
      <c r="M24" s="221"/>
    </row>
    <row r="25" spans="1:13" ht="15">
      <c r="A25" s="210"/>
      <c r="B25" s="216" t="s">
        <v>84</v>
      </c>
      <c r="C25" s="210" t="s">
        <v>85</v>
      </c>
      <c r="D25" s="221">
        <v>21212100</v>
      </c>
      <c r="E25" s="217">
        <f t="shared" si="0"/>
        <v>0.067623</v>
      </c>
      <c r="F25" s="275">
        <f>ROUND(28496464/100,0)*100</f>
        <v>28496500</v>
      </c>
      <c r="G25" s="273">
        <f>F25/$F$33</f>
        <v>0.070276</v>
      </c>
      <c r="H25" s="277">
        <f>ROUND(26726865/100,0)*100</f>
        <v>26726900</v>
      </c>
      <c r="I25" s="219">
        <f t="shared" si="2"/>
        <v>0.06775</v>
      </c>
      <c r="J25" s="221">
        <f t="shared" si="3"/>
        <v>24131900</v>
      </c>
      <c r="K25" s="219">
        <f t="shared" si="4"/>
        <v>0.06775</v>
      </c>
      <c r="L25" s="223">
        <f t="shared" si="5"/>
        <v>2919800</v>
      </c>
      <c r="M25" s="221"/>
    </row>
    <row r="26" spans="1:13" ht="15">
      <c r="A26" s="210"/>
      <c r="B26" s="216" t="s">
        <v>86</v>
      </c>
      <c r="C26" s="210" t="s">
        <v>87</v>
      </c>
      <c r="D26" s="221">
        <v>23622500</v>
      </c>
      <c r="E26" s="217">
        <f t="shared" si="0"/>
        <v>0.075307</v>
      </c>
      <c r="F26" s="275">
        <f>ROUND(29216122/100,0)*100</f>
        <v>29216100</v>
      </c>
      <c r="G26" s="273">
        <f>F26/$F$33</f>
        <v>0.072051</v>
      </c>
      <c r="H26" s="277">
        <f>ROUND(28617030/100,0)*100</f>
        <v>28617000</v>
      </c>
      <c r="I26" s="219">
        <f>H26/$H$33</f>
        <v>0.0725412</v>
      </c>
      <c r="J26" s="221">
        <f t="shared" si="3"/>
        <v>25838500</v>
      </c>
      <c r="K26" s="219">
        <f t="shared" si="4"/>
        <v>0.0725412</v>
      </c>
      <c r="L26" s="223">
        <f t="shared" si="5"/>
        <v>2216000</v>
      </c>
      <c r="M26" s="221"/>
    </row>
    <row r="27" spans="1:13" ht="15">
      <c r="A27" s="210"/>
      <c r="B27" s="216" t="s">
        <v>88</v>
      </c>
      <c r="C27" s="210" t="s">
        <v>89</v>
      </c>
      <c r="D27" s="221">
        <v>16436900</v>
      </c>
      <c r="E27" s="217">
        <f t="shared" si="0"/>
        <v>0.0524</v>
      </c>
      <c r="F27" s="275">
        <f>ROUND(23488439/100,0)*100</f>
        <v>23488400</v>
      </c>
      <c r="G27" s="273">
        <f t="shared" si="1"/>
        <v>0.057925</v>
      </c>
      <c r="H27" s="277">
        <f>ROUND(21933569/100,0)*100</f>
        <v>21933600</v>
      </c>
      <c r="I27" s="219">
        <f t="shared" si="2"/>
        <v>0.0555994</v>
      </c>
      <c r="J27" s="221">
        <f t="shared" si="3"/>
        <v>19804000</v>
      </c>
      <c r="K27" s="219">
        <f t="shared" si="4"/>
        <v>0.0555994</v>
      </c>
      <c r="L27" s="223">
        <f t="shared" si="5"/>
        <v>3367100</v>
      </c>
      <c r="M27" s="221"/>
    </row>
    <row r="28" spans="1:13" ht="15">
      <c r="A28" s="210"/>
      <c r="B28" s="216" t="s">
        <v>90</v>
      </c>
      <c r="C28" s="210" t="s">
        <v>91</v>
      </c>
      <c r="D28" s="221">
        <v>7599400</v>
      </c>
      <c r="E28" s="217">
        <f t="shared" si="0"/>
        <v>0.024227</v>
      </c>
      <c r="F28" s="275">
        <f>ROUND(9819259/100,0)*100</f>
        <v>9819300</v>
      </c>
      <c r="G28" s="273">
        <f t="shared" si="1"/>
        <v>0.024216</v>
      </c>
      <c r="H28" s="277">
        <f>ROUND(9406466/100,0)*100</f>
        <v>9406500</v>
      </c>
      <c r="I28" s="219">
        <f t="shared" si="2"/>
        <v>0.0238445</v>
      </c>
      <c r="J28" s="221">
        <f t="shared" si="3"/>
        <v>8493200</v>
      </c>
      <c r="K28" s="219">
        <f t="shared" si="4"/>
        <v>0.0238445</v>
      </c>
      <c r="L28" s="223">
        <f t="shared" si="5"/>
        <v>893800</v>
      </c>
      <c r="M28" s="221"/>
    </row>
    <row r="29" spans="1:13" ht="15">
      <c r="A29" s="210"/>
      <c r="B29" s="216" t="s">
        <v>92</v>
      </c>
      <c r="C29" s="210" t="s">
        <v>93</v>
      </c>
      <c r="D29" s="221">
        <v>6242300</v>
      </c>
      <c r="E29" s="217">
        <f t="shared" si="0"/>
        <v>0.0199</v>
      </c>
      <c r="F29" s="275">
        <f>ROUND(8120632/100,0)*100</f>
        <v>8120600</v>
      </c>
      <c r="G29" s="273">
        <f t="shared" si="1"/>
        <v>0.020026</v>
      </c>
      <c r="H29" s="277">
        <f>ROUND(7968016/100,0)*100</f>
        <v>7968000</v>
      </c>
      <c r="I29" s="219">
        <f t="shared" si="2"/>
        <v>0.0201981</v>
      </c>
      <c r="J29" s="221">
        <f t="shared" si="3"/>
        <v>7194400</v>
      </c>
      <c r="K29" s="219">
        <f t="shared" si="4"/>
        <v>0.0201981</v>
      </c>
      <c r="L29" s="223">
        <f t="shared" si="5"/>
        <v>952100</v>
      </c>
      <c r="M29" s="221"/>
    </row>
    <row r="30" spans="1:13" ht="15">
      <c r="A30" s="210"/>
      <c r="B30" s="216" t="s">
        <v>94</v>
      </c>
      <c r="C30" s="210" t="s">
        <v>95</v>
      </c>
      <c r="D30" s="221">
        <v>4252700</v>
      </c>
      <c r="E30" s="217">
        <f t="shared" si="0"/>
        <v>0.013557</v>
      </c>
      <c r="F30" s="275">
        <f>ROUND(5687352/100,0)*100-100</f>
        <v>5687300</v>
      </c>
      <c r="G30" s="273">
        <f t="shared" si="1"/>
        <v>0.014026</v>
      </c>
      <c r="H30" s="277">
        <f>ROUND(5446540/100,0)*100</f>
        <v>5446500</v>
      </c>
      <c r="I30" s="219">
        <f t="shared" si="2"/>
        <v>0.0138063</v>
      </c>
      <c r="J30" s="221">
        <f t="shared" si="3"/>
        <v>4917700</v>
      </c>
      <c r="K30" s="219">
        <f t="shared" si="4"/>
        <v>0.0138063</v>
      </c>
      <c r="L30" s="223">
        <f t="shared" si="5"/>
        <v>665000</v>
      </c>
      <c r="M30" s="221"/>
    </row>
    <row r="31" spans="1:13" ht="15">
      <c r="A31" s="210"/>
      <c r="B31" s="216" t="s">
        <v>96</v>
      </c>
      <c r="C31" s="210" t="s">
        <v>97</v>
      </c>
      <c r="D31" s="221">
        <v>7735600</v>
      </c>
      <c r="E31" s="217">
        <f t="shared" si="0"/>
        <v>0.024661</v>
      </c>
      <c r="F31" s="275">
        <f>ROUND(10230193/100,0)*100</f>
        <v>10230200</v>
      </c>
      <c r="G31" s="273">
        <f t="shared" si="1"/>
        <v>0.025229</v>
      </c>
      <c r="H31" s="277">
        <f>ROUND(9708616/100,0)*100</f>
        <v>9708600</v>
      </c>
      <c r="I31" s="219">
        <f t="shared" si="2"/>
        <v>0.0246103</v>
      </c>
      <c r="J31" s="221">
        <f>ROUND((356190800)*K31/100,0)*100</f>
        <v>8766000</v>
      </c>
      <c r="K31" s="219">
        <f t="shared" si="4"/>
        <v>0.0246103</v>
      </c>
      <c r="L31" s="223">
        <f t="shared" si="5"/>
        <v>1030400</v>
      </c>
      <c r="M31" s="221"/>
    </row>
    <row r="32" spans="1:12" ht="15">
      <c r="A32" s="210"/>
      <c r="B32" s="216"/>
      <c r="C32" s="210"/>
      <c r="D32" s="222"/>
      <c r="E32" s="224"/>
      <c r="F32" s="212"/>
      <c r="G32" s="225"/>
      <c r="H32" s="212"/>
      <c r="I32" s="222"/>
      <c r="J32" s="226"/>
      <c r="K32" s="225"/>
      <c r="L32" s="223"/>
    </row>
    <row r="33" spans="1:14" ht="15">
      <c r="A33" s="210"/>
      <c r="B33" s="227"/>
      <c r="C33" s="228" t="s">
        <v>22</v>
      </c>
      <c r="D33" s="229">
        <f aca="true" t="shared" si="6" ref="D33:L33">SUM(D9:D31)</f>
        <v>313680800</v>
      </c>
      <c r="E33" s="230">
        <f t="shared" si="6"/>
        <v>1</v>
      </c>
      <c r="F33" s="231">
        <f t="shared" si="6"/>
        <v>405494700</v>
      </c>
      <c r="G33" s="232">
        <f t="shared" si="6"/>
        <v>1</v>
      </c>
      <c r="H33" s="231">
        <f t="shared" si="6"/>
        <v>394493200</v>
      </c>
      <c r="I33" s="230">
        <f t="shared" si="6"/>
        <v>1</v>
      </c>
      <c r="J33" s="231">
        <f t="shared" si="6"/>
        <v>356190800</v>
      </c>
      <c r="K33" s="232">
        <f t="shared" si="6"/>
        <v>1</v>
      </c>
      <c r="L33" s="233">
        <f t="shared" si="6"/>
        <v>42510000</v>
      </c>
      <c r="N33" s="234"/>
    </row>
    <row r="34" spans="4:12" ht="12.75">
      <c r="D34" s="235"/>
      <c r="E34" s="235"/>
      <c r="F34" s="235"/>
      <c r="G34" s="236"/>
      <c r="H34" s="235"/>
      <c r="I34" s="235"/>
      <c r="J34" s="237"/>
      <c r="K34" s="235"/>
      <c r="L34" s="237"/>
    </row>
    <row r="35" spans="10:12" ht="12.75">
      <c r="J35" s="238"/>
      <c r="L35" s="237"/>
    </row>
    <row r="36" spans="10:11" ht="12.75">
      <c r="J36" s="259"/>
      <c r="K36" s="238"/>
    </row>
    <row r="37" spans="10:11" ht="12.75">
      <c r="J37" s="238"/>
      <c r="K37" s="238"/>
    </row>
  </sheetData>
  <sheetProtection/>
  <mergeCells count="5">
    <mergeCell ref="F4:L4"/>
    <mergeCell ref="F5:G5"/>
    <mergeCell ref="J5:K5"/>
    <mergeCell ref="F6:G6"/>
    <mergeCell ref="J6:K6"/>
  </mergeCells>
  <printOptions/>
  <pageMargins left="0.5" right="0.5" top="1" bottom="0.75" header="0.5" footer="0.5"/>
  <pageSetup fitToHeight="1" fitToWidth="1" horizontalDpi="600" verticalDpi="600" orientation="landscape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2" sqref="G22"/>
    </sheetView>
  </sheetViews>
  <sheetFormatPr defaultColWidth="9.33203125" defaultRowHeight="12.75"/>
  <cols>
    <col min="1" max="1" width="2.33203125" style="293" bestFit="1" customWidth="1"/>
    <col min="2" max="2" width="24.5" style="293" customWidth="1"/>
    <col min="3" max="3" width="39" style="308" customWidth="1"/>
    <col min="4" max="4" width="2.83203125" style="308" customWidth="1"/>
    <col min="5" max="5" width="14.5" style="308" bestFit="1" customWidth="1"/>
    <col min="6" max="6" width="9.16015625" style="293" customWidth="1"/>
    <col min="7" max="7" width="9.33203125" style="296" customWidth="1"/>
    <col min="8" max="16384" width="9.33203125" style="293" customWidth="1"/>
  </cols>
  <sheetData>
    <row r="1" spans="2:5" ht="16.5">
      <c r="B1" s="294" t="s">
        <v>183</v>
      </c>
      <c r="C1" s="295"/>
      <c r="D1" s="295"/>
      <c r="E1" s="295"/>
    </row>
    <row r="2" spans="2:5" ht="15" customHeight="1">
      <c r="B2" s="297" t="s">
        <v>191</v>
      </c>
      <c r="C2" s="295"/>
      <c r="D2" s="295"/>
      <c r="E2" s="295"/>
    </row>
    <row r="3" spans="4:5" s="298" customFormat="1" ht="14.25">
      <c r="D3" s="188"/>
      <c r="E3" s="188"/>
    </row>
    <row r="4" spans="3:5" s="299" customFormat="1" ht="6" customHeight="1">
      <c r="C4" s="300"/>
      <c r="D4" s="300"/>
      <c r="E4" s="300"/>
    </row>
    <row r="5" spans="2:5" s="301" customFormat="1" ht="51">
      <c r="B5" s="302"/>
      <c r="C5" s="303"/>
      <c r="D5" s="304"/>
      <c r="E5" s="304" t="s">
        <v>192</v>
      </c>
    </row>
    <row r="6" spans="1:5" ht="9" customHeight="1">
      <c r="A6" s="305"/>
      <c r="B6" s="306"/>
      <c r="C6" s="307"/>
      <c r="D6" s="307"/>
      <c r="E6" s="309"/>
    </row>
    <row r="7" spans="2:5" s="310" customFormat="1" ht="15">
      <c r="B7" s="310" t="s">
        <v>0</v>
      </c>
      <c r="C7" s="311"/>
      <c r="D7" s="312"/>
      <c r="E7" s="126">
        <v>-1096400</v>
      </c>
    </row>
    <row r="8" spans="2:7" s="313" customFormat="1" ht="15">
      <c r="B8" s="313" t="s">
        <v>1</v>
      </c>
      <c r="C8" s="312"/>
      <c r="D8" s="312"/>
      <c r="E8" s="127">
        <v>-770500</v>
      </c>
      <c r="G8" s="314"/>
    </row>
    <row r="9" spans="2:7" s="313" customFormat="1" ht="15">
      <c r="B9" s="313" t="s">
        <v>2</v>
      </c>
      <c r="C9" s="312"/>
      <c r="D9" s="312"/>
      <c r="E9" s="127">
        <v>-2146400</v>
      </c>
      <c r="G9" s="314"/>
    </row>
    <row r="10" spans="2:7" s="313" customFormat="1" ht="15">
      <c r="B10" s="313" t="s">
        <v>3</v>
      </c>
      <c r="C10" s="312"/>
      <c r="D10" s="312"/>
      <c r="E10" s="127">
        <v>-1287800</v>
      </c>
      <c r="G10" s="314"/>
    </row>
    <row r="11" spans="2:7" s="313" customFormat="1" ht="15">
      <c r="B11" s="313" t="s">
        <v>30</v>
      </c>
      <c r="C11" s="312"/>
      <c r="D11" s="312"/>
      <c r="E11" s="127">
        <v>-1607200</v>
      </c>
      <c r="G11" s="314"/>
    </row>
    <row r="12" spans="2:7" s="313" customFormat="1" ht="15">
      <c r="B12" s="313" t="s">
        <v>4</v>
      </c>
      <c r="C12" s="312"/>
      <c r="D12" s="312"/>
      <c r="E12" s="127">
        <v>-2749900</v>
      </c>
      <c r="G12" s="314"/>
    </row>
    <row r="13" spans="2:7" s="313" customFormat="1" ht="15">
      <c r="B13" s="313" t="s">
        <v>5</v>
      </c>
      <c r="C13" s="312"/>
      <c r="D13" s="312"/>
      <c r="E13" s="127">
        <v>-3218300</v>
      </c>
      <c r="G13" s="314"/>
    </row>
    <row r="14" spans="2:7" s="313" customFormat="1" ht="15">
      <c r="B14" s="313" t="s">
        <v>6</v>
      </c>
      <c r="C14" s="312"/>
      <c r="D14" s="312"/>
      <c r="E14" s="127">
        <v>-1364500</v>
      </c>
      <c r="G14" s="314"/>
    </row>
    <row r="15" spans="2:7" s="313" customFormat="1" ht="15">
      <c r="B15" s="313" t="s">
        <v>7</v>
      </c>
      <c r="C15" s="312"/>
      <c r="D15" s="312"/>
      <c r="E15" s="127">
        <v>-3667500</v>
      </c>
      <c r="G15" s="314"/>
    </row>
    <row r="16" spans="2:7" s="313" customFormat="1" ht="15">
      <c r="B16" s="313" t="s">
        <v>8</v>
      </c>
      <c r="C16" s="312"/>
      <c r="D16" s="312"/>
      <c r="E16" s="127">
        <v>-2382600</v>
      </c>
      <c r="G16" s="314"/>
    </row>
    <row r="17" spans="2:7" s="313" customFormat="1" ht="15">
      <c r="B17" s="313" t="s">
        <v>9</v>
      </c>
      <c r="C17" s="312"/>
      <c r="D17" s="312"/>
      <c r="E17" s="127">
        <v>-340500</v>
      </c>
      <c r="G17" s="314"/>
    </row>
    <row r="18" spans="2:7" s="313" customFormat="1" ht="15">
      <c r="B18" s="313" t="s">
        <v>10</v>
      </c>
      <c r="C18" s="312"/>
      <c r="D18" s="312"/>
      <c r="E18" s="127">
        <v>-949200</v>
      </c>
      <c r="G18" s="314"/>
    </row>
    <row r="19" spans="2:7" s="313" customFormat="1" ht="15">
      <c r="B19" s="313" t="s">
        <v>11</v>
      </c>
      <c r="C19" s="312"/>
      <c r="D19" s="312"/>
      <c r="E19" s="127">
        <v>-3476600</v>
      </c>
      <c r="G19" s="314"/>
    </row>
    <row r="20" spans="2:7" s="313" customFormat="1" ht="15">
      <c r="B20" s="313" t="s">
        <v>12</v>
      </c>
      <c r="C20" s="312"/>
      <c r="D20" s="312"/>
      <c r="E20" s="127">
        <v>-2611900</v>
      </c>
      <c r="G20" s="314"/>
    </row>
    <row r="21" spans="2:7" s="313" customFormat="1" ht="15">
      <c r="B21" s="313" t="s">
        <v>13</v>
      </c>
      <c r="C21" s="312"/>
      <c r="D21" s="312"/>
      <c r="E21" s="127">
        <v>-2963800</v>
      </c>
      <c r="G21" s="314"/>
    </row>
    <row r="22" spans="2:7" s="313" customFormat="1" ht="15">
      <c r="B22" s="313" t="s">
        <v>14</v>
      </c>
      <c r="C22" s="312"/>
      <c r="D22" s="312"/>
      <c r="E22" s="127">
        <v>-1905900</v>
      </c>
      <c r="G22" s="314"/>
    </row>
    <row r="23" spans="2:7" s="313" customFormat="1" ht="15">
      <c r="B23" s="313" t="s">
        <v>15</v>
      </c>
      <c r="C23" s="312"/>
      <c r="D23" s="312"/>
      <c r="E23" s="127">
        <v>-3961100</v>
      </c>
      <c r="G23" s="314"/>
    </row>
    <row r="24" spans="2:7" s="313" customFormat="1" ht="15">
      <c r="B24" s="313" t="s">
        <v>16</v>
      </c>
      <c r="C24" s="312"/>
      <c r="D24" s="312"/>
      <c r="E24" s="127">
        <v>-3056900</v>
      </c>
      <c r="G24" s="314"/>
    </row>
    <row r="25" spans="2:7" s="313" customFormat="1" ht="15">
      <c r="B25" s="313" t="s">
        <v>17</v>
      </c>
      <c r="C25" s="312"/>
      <c r="D25" s="312"/>
      <c r="E25" s="127">
        <v>-2994600</v>
      </c>
      <c r="G25" s="314"/>
    </row>
    <row r="26" spans="2:7" s="313" customFormat="1" ht="15">
      <c r="B26" s="313" t="s">
        <v>18</v>
      </c>
      <c r="C26" s="312"/>
      <c r="D26" s="312"/>
      <c r="E26" s="127">
        <v>-2663800</v>
      </c>
      <c r="G26" s="314"/>
    </row>
    <row r="27" spans="2:7" s="313" customFormat="1" ht="15">
      <c r="B27" s="313" t="s">
        <v>19</v>
      </c>
      <c r="C27" s="312"/>
      <c r="D27" s="312"/>
      <c r="E27" s="127">
        <v>-1202900</v>
      </c>
      <c r="G27" s="314"/>
    </row>
    <row r="28" spans="2:7" s="313" customFormat="1" ht="15">
      <c r="B28" s="313" t="s">
        <v>20</v>
      </c>
      <c r="C28" s="312"/>
      <c r="D28" s="312"/>
      <c r="E28" s="127">
        <v>-1144500</v>
      </c>
      <c r="G28" s="314"/>
    </row>
    <row r="29" spans="2:7" s="313" customFormat="1" ht="15">
      <c r="B29" s="313" t="s">
        <v>21</v>
      </c>
      <c r="C29" s="312"/>
      <c r="D29" s="312"/>
      <c r="E29" s="127">
        <v>-1133400</v>
      </c>
      <c r="G29" s="314"/>
    </row>
    <row r="30" spans="3:7" s="313" customFormat="1" ht="9" customHeight="1">
      <c r="C30" s="312"/>
      <c r="D30" s="315"/>
      <c r="E30" s="312"/>
      <c r="G30" s="314"/>
    </row>
    <row r="31" spans="2:5" s="310" customFormat="1" ht="18" customHeight="1">
      <c r="B31" s="316" t="s">
        <v>22</v>
      </c>
      <c r="C31" s="317"/>
      <c r="D31" s="317"/>
      <c r="E31" s="317">
        <f>SUM(E7:E30)</f>
        <v>-48696200</v>
      </c>
    </row>
    <row r="32" spans="3:7" s="313" customFormat="1" ht="9" customHeight="1">
      <c r="C32" s="312"/>
      <c r="D32" s="315"/>
      <c r="E32" s="312"/>
      <c r="G32" s="314"/>
    </row>
    <row r="33" spans="2:7" s="313" customFormat="1" ht="15">
      <c r="B33" s="313" t="s">
        <v>23</v>
      </c>
      <c r="C33" s="312"/>
      <c r="D33" s="315"/>
      <c r="E33" s="312">
        <v>-1303800</v>
      </c>
      <c r="G33" s="314"/>
    </row>
    <row r="34" spans="2:7" s="313" customFormat="1" ht="15">
      <c r="B34" s="313" t="s">
        <v>38</v>
      </c>
      <c r="C34" s="312"/>
      <c r="D34" s="315"/>
      <c r="E34" s="312">
        <v>0</v>
      </c>
      <c r="G34" s="314"/>
    </row>
    <row r="35" spans="2:7" s="313" customFormat="1" ht="15">
      <c r="B35" s="313" t="s">
        <v>24</v>
      </c>
      <c r="C35" s="312"/>
      <c r="D35" s="315"/>
      <c r="E35" s="312">
        <v>0</v>
      </c>
      <c r="G35" s="314"/>
    </row>
    <row r="36" spans="2:7" s="313" customFormat="1" ht="15">
      <c r="B36" s="313" t="s">
        <v>25</v>
      </c>
      <c r="C36" s="312"/>
      <c r="D36" s="315"/>
      <c r="E36" s="312">
        <v>0</v>
      </c>
      <c r="G36" s="314"/>
    </row>
    <row r="37" spans="2:7" s="313" customFormat="1" ht="15">
      <c r="B37" s="313" t="s">
        <v>26</v>
      </c>
      <c r="C37" s="312"/>
      <c r="D37" s="318"/>
      <c r="E37" s="312">
        <v>0</v>
      </c>
      <c r="G37" s="314"/>
    </row>
    <row r="38" spans="3:7" s="313" customFormat="1" ht="9" customHeight="1">
      <c r="C38" s="312"/>
      <c r="D38" s="315"/>
      <c r="E38" s="312"/>
      <c r="G38" s="314"/>
    </row>
    <row r="39" spans="2:5" s="310" customFormat="1" ht="18" customHeight="1" thickBot="1">
      <c r="B39" s="319" t="s">
        <v>27</v>
      </c>
      <c r="C39" s="320"/>
      <c r="D39" s="320"/>
      <c r="E39" s="320">
        <f>SUM(E31:E37)</f>
        <v>-50000000</v>
      </c>
    </row>
    <row r="40" spans="3:5" ht="12.75">
      <c r="C40" s="321"/>
      <c r="D40" s="321"/>
      <c r="E40" s="321"/>
    </row>
    <row r="41" spans="1:5" ht="30.75" customHeight="1">
      <c r="A41" s="322"/>
      <c r="B41" s="350"/>
      <c r="C41" s="350"/>
      <c r="D41" s="350"/>
      <c r="E41" s="350"/>
    </row>
    <row r="42" spans="1:5" ht="15.75">
      <c r="A42" s="322"/>
      <c r="B42" s="324"/>
      <c r="C42" s="323"/>
      <c r="D42" s="323"/>
      <c r="E42" s="323"/>
    </row>
    <row r="43" spans="1:5" ht="15.75">
      <c r="A43" s="322"/>
      <c r="B43" s="325"/>
      <c r="C43" s="323"/>
      <c r="D43" s="323"/>
      <c r="E43" s="323"/>
    </row>
    <row r="44" spans="1:5" ht="15.75">
      <c r="A44" s="322"/>
      <c r="B44" s="350"/>
      <c r="C44" s="350"/>
      <c r="D44" s="350"/>
      <c r="E44" s="350"/>
    </row>
    <row r="45" spans="1:7" ht="15.75">
      <c r="A45" s="322"/>
      <c r="B45" s="351"/>
      <c r="C45" s="352"/>
      <c r="D45" s="352"/>
      <c r="E45" s="352"/>
      <c r="G45" s="326"/>
    </row>
    <row r="46" spans="1:5" ht="15.75">
      <c r="A46" s="322"/>
      <c r="B46" s="350"/>
      <c r="C46" s="353"/>
      <c r="D46" s="353"/>
      <c r="E46" s="353"/>
    </row>
  </sheetData>
  <sheetProtection/>
  <mergeCells count="4">
    <mergeCell ref="B41:E41"/>
    <mergeCell ref="B44:E44"/>
    <mergeCell ref="B45:E45"/>
    <mergeCell ref="B46:E46"/>
  </mergeCells>
  <printOptions/>
  <pageMargins left="0.75" right="0.5" top="0.5" bottom="0.25" header="0.5" footer="0.5"/>
  <pageSetup fitToHeight="1" fitToWidth="1" horizontalDpi="600" verticalDpi="600" orientation="landscape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6" sqref="N16"/>
    </sheetView>
  </sheetViews>
  <sheetFormatPr defaultColWidth="9.33203125" defaultRowHeight="12.75"/>
  <cols>
    <col min="1" max="1" width="28.5" style="110" customWidth="1"/>
    <col min="2" max="2" width="17.66015625" style="110" bestFit="1" customWidth="1"/>
    <col min="3" max="3" width="27.16015625" style="111" customWidth="1"/>
    <col min="4" max="4" width="14.5" style="110" bestFit="1" customWidth="1"/>
    <col min="5" max="5" width="3.16015625" style="110" customWidth="1"/>
    <col min="6" max="6" width="14.5" style="110" bestFit="1" customWidth="1"/>
    <col min="7" max="7" width="3.16015625" style="110" customWidth="1"/>
    <col min="8" max="8" width="14.5" style="110" bestFit="1" customWidth="1"/>
    <col min="9" max="9" width="3.5" style="110" customWidth="1"/>
    <col min="10" max="10" width="14.5" style="111" bestFit="1" customWidth="1"/>
    <col min="11" max="16384" width="9.33203125" style="110" customWidth="1"/>
  </cols>
  <sheetData>
    <row r="1" ht="16.5">
      <c r="A1" s="183" t="s">
        <v>185</v>
      </c>
    </row>
    <row r="2" ht="15.75">
      <c r="A2" s="112" t="s">
        <v>158</v>
      </c>
    </row>
    <row r="3" ht="15.75">
      <c r="A3" s="112"/>
    </row>
    <row r="4" spans="1:10" s="111" customFormat="1" ht="21" customHeight="1">
      <c r="A4" s="113"/>
      <c r="B4" s="241"/>
      <c r="C4" s="113"/>
      <c r="D4" s="354" t="s">
        <v>46</v>
      </c>
      <c r="E4" s="354"/>
      <c r="F4" s="354"/>
      <c r="G4" s="354"/>
      <c r="H4" s="354"/>
      <c r="I4" s="354"/>
      <c r="J4" s="354"/>
    </row>
    <row r="5" spans="1:10" s="116" customFormat="1" ht="50.25">
      <c r="A5" s="114" t="s">
        <v>45</v>
      </c>
      <c r="B5" s="114" t="s">
        <v>47</v>
      </c>
      <c r="C5" s="114"/>
      <c r="D5" s="115">
        <v>39630</v>
      </c>
      <c r="E5" s="115"/>
      <c r="F5" s="115">
        <v>39722</v>
      </c>
      <c r="G5" s="115"/>
      <c r="H5" s="115">
        <v>39814</v>
      </c>
      <c r="I5" s="115"/>
      <c r="J5" s="115">
        <v>39904</v>
      </c>
    </row>
    <row r="6" spans="1:9" ht="15.75">
      <c r="A6" s="117"/>
      <c r="B6" s="111"/>
      <c r="D6" s="111"/>
      <c r="E6" s="111"/>
      <c r="F6" s="111"/>
      <c r="G6" s="111"/>
      <c r="H6" s="111"/>
      <c r="I6" s="111"/>
    </row>
    <row r="7" spans="1:10" ht="15.75">
      <c r="A7" s="118" t="s">
        <v>0</v>
      </c>
      <c r="B7" s="246">
        <v>137600</v>
      </c>
      <c r="C7" s="118"/>
      <c r="D7" s="118">
        <f>ROUND(B7/4,2)</f>
        <v>34400</v>
      </c>
      <c r="E7" s="118"/>
      <c r="F7" s="118">
        <f aca="true" t="shared" si="0" ref="F7:F29">D7</f>
        <v>34400</v>
      </c>
      <c r="G7" s="118"/>
      <c r="H7" s="118">
        <f aca="true" t="shared" si="1" ref="H7:H29">F7</f>
        <v>34400</v>
      </c>
      <c r="I7" s="118"/>
      <c r="J7" s="118">
        <f aca="true" t="shared" si="2" ref="J7:J29">H7</f>
        <v>34400</v>
      </c>
    </row>
    <row r="8" spans="1:10" ht="15.75">
      <c r="A8" s="119" t="s">
        <v>1</v>
      </c>
      <c r="B8" s="247">
        <v>58600</v>
      </c>
      <c r="C8" s="120"/>
      <c r="D8" s="120">
        <f aca="true" t="shared" si="3" ref="D8:D29">ROUND(B8/4,2)</f>
        <v>14650</v>
      </c>
      <c r="E8" s="120"/>
      <c r="F8" s="120">
        <f t="shared" si="0"/>
        <v>14650</v>
      </c>
      <c r="G8" s="120"/>
      <c r="H8" s="120">
        <f t="shared" si="1"/>
        <v>14650</v>
      </c>
      <c r="I8" s="120"/>
      <c r="J8" s="120">
        <f t="shared" si="2"/>
        <v>14650</v>
      </c>
    </row>
    <row r="9" spans="1:10" ht="15.75">
      <c r="A9" s="119" t="s">
        <v>2</v>
      </c>
      <c r="B9" s="247">
        <v>293100</v>
      </c>
      <c r="C9" s="120"/>
      <c r="D9" s="120">
        <f t="shared" si="3"/>
        <v>73275</v>
      </c>
      <c r="E9" s="120"/>
      <c r="F9" s="120">
        <f t="shared" si="0"/>
        <v>73275</v>
      </c>
      <c r="G9" s="120"/>
      <c r="H9" s="120">
        <f t="shared" si="1"/>
        <v>73275</v>
      </c>
      <c r="I9" s="120"/>
      <c r="J9" s="120">
        <f t="shared" si="2"/>
        <v>73275</v>
      </c>
    </row>
    <row r="10" spans="1:10" ht="15.75">
      <c r="A10" s="119" t="s">
        <v>3</v>
      </c>
      <c r="B10" s="247">
        <v>201500</v>
      </c>
      <c r="C10" s="120"/>
      <c r="D10" s="120">
        <f t="shared" si="3"/>
        <v>50375</v>
      </c>
      <c r="E10" s="120"/>
      <c r="F10" s="120">
        <f t="shared" si="0"/>
        <v>50375</v>
      </c>
      <c r="G10" s="120"/>
      <c r="H10" s="120">
        <f t="shared" si="1"/>
        <v>50375</v>
      </c>
      <c r="I10" s="120"/>
      <c r="J10" s="120">
        <f t="shared" si="2"/>
        <v>50375</v>
      </c>
    </row>
    <row r="11" spans="1:10" ht="15.75">
      <c r="A11" s="119" t="s">
        <v>30</v>
      </c>
      <c r="B11" s="247">
        <v>303900</v>
      </c>
      <c r="C11" s="120"/>
      <c r="D11" s="120">
        <f t="shared" si="3"/>
        <v>75975</v>
      </c>
      <c r="E11" s="120"/>
      <c r="F11" s="120">
        <f t="shared" si="0"/>
        <v>75975</v>
      </c>
      <c r="G11" s="120"/>
      <c r="H11" s="120">
        <f t="shared" si="1"/>
        <v>75975</v>
      </c>
      <c r="I11" s="120"/>
      <c r="J11" s="120">
        <f t="shared" si="2"/>
        <v>75975</v>
      </c>
    </row>
    <row r="12" spans="1:10" ht="15.75">
      <c r="A12" s="119" t="s">
        <v>4</v>
      </c>
      <c r="B12" s="247">
        <v>395600</v>
      </c>
      <c r="C12" s="120"/>
      <c r="D12" s="120">
        <f t="shared" si="3"/>
        <v>98900</v>
      </c>
      <c r="E12" s="120"/>
      <c r="F12" s="120">
        <f t="shared" si="0"/>
        <v>98900</v>
      </c>
      <c r="G12" s="120"/>
      <c r="H12" s="120">
        <f t="shared" si="1"/>
        <v>98900</v>
      </c>
      <c r="I12" s="120"/>
      <c r="J12" s="120">
        <f t="shared" si="2"/>
        <v>98900</v>
      </c>
    </row>
    <row r="13" spans="1:10" ht="15.75">
      <c r="A13" s="119" t="s">
        <v>5</v>
      </c>
      <c r="B13" s="247">
        <v>685100</v>
      </c>
      <c r="C13" s="120"/>
      <c r="D13" s="120">
        <f t="shared" si="3"/>
        <v>171275</v>
      </c>
      <c r="E13" s="120"/>
      <c r="F13" s="120">
        <f t="shared" si="0"/>
        <v>171275</v>
      </c>
      <c r="G13" s="120"/>
      <c r="H13" s="120">
        <f t="shared" si="1"/>
        <v>171275</v>
      </c>
      <c r="I13" s="120"/>
      <c r="J13" s="120">
        <f t="shared" si="2"/>
        <v>171275</v>
      </c>
    </row>
    <row r="14" spans="1:10" ht="15.75">
      <c r="A14" s="119" t="s">
        <v>6</v>
      </c>
      <c r="B14" s="247">
        <v>143300</v>
      </c>
      <c r="C14" s="120"/>
      <c r="D14" s="120">
        <f t="shared" si="3"/>
        <v>35825</v>
      </c>
      <c r="E14" s="120"/>
      <c r="F14" s="120">
        <f t="shared" si="0"/>
        <v>35825</v>
      </c>
      <c r="G14" s="120"/>
      <c r="H14" s="120">
        <f t="shared" si="1"/>
        <v>35825</v>
      </c>
      <c r="I14" s="120"/>
      <c r="J14" s="120">
        <f t="shared" si="2"/>
        <v>35825</v>
      </c>
    </row>
    <row r="15" spans="1:10" ht="15.75">
      <c r="A15" s="119" t="s">
        <v>7</v>
      </c>
      <c r="B15" s="247">
        <v>719900</v>
      </c>
      <c r="C15" s="120"/>
      <c r="D15" s="120">
        <f t="shared" si="3"/>
        <v>179975</v>
      </c>
      <c r="E15" s="120"/>
      <c r="F15" s="120">
        <f t="shared" si="0"/>
        <v>179975</v>
      </c>
      <c r="G15" s="120"/>
      <c r="H15" s="120">
        <f t="shared" si="1"/>
        <v>179975</v>
      </c>
      <c r="I15" s="120"/>
      <c r="J15" s="120">
        <f t="shared" si="2"/>
        <v>179975</v>
      </c>
    </row>
    <row r="16" spans="1:10" ht="15.75">
      <c r="A16" s="119" t="s">
        <v>8</v>
      </c>
      <c r="B16" s="247">
        <v>407200</v>
      </c>
      <c r="C16" s="120"/>
      <c r="D16" s="120">
        <f t="shared" si="3"/>
        <v>101800</v>
      </c>
      <c r="E16" s="120"/>
      <c r="F16" s="120">
        <f t="shared" si="0"/>
        <v>101800</v>
      </c>
      <c r="G16" s="120"/>
      <c r="H16" s="120">
        <f t="shared" si="1"/>
        <v>101800</v>
      </c>
      <c r="I16" s="120"/>
      <c r="J16" s="120">
        <f t="shared" si="2"/>
        <v>101800</v>
      </c>
    </row>
    <row r="17" spans="1:10" ht="15.75">
      <c r="A17" s="119" t="s">
        <v>9</v>
      </c>
      <c r="B17" s="247">
        <v>29600</v>
      </c>
      <c r="C17" s="120"/>
      <c r="D17" s="120">
        <f t="shared" si="3"/>
        <v>7400</v>
      </c>
      <c r="E17" s="120"/>
      <c r="F17" s="120">
        <f t="shared" si="0"/>
        <v>7400</v>
      </c>
      <c r="G17" s="120"/>
      <c r="H17" s="120">
        <f t="shared" si="1"/>
        <v>7400</v>
      </c>
      <c r="I17" s="120"/>
      <c r="J17" s="120">
        <f t="shared" si="2"/>
        <v>7400</v>
      </c>
    </row>
    <row r="18" spans="1:10" ht="15.75">
      <c r="A18" s="119" t="s">
        <v>10</v>
      </c>
      <c r="B18" s="247">
        <v>69800</v>
      </c>
      <c r="C18" s="120"/>
      <c r="D18" s="120">
        <f t="shared" si="3"/>
        <v>17450</v>
      </c>
      <c r="E18" s="120"/>
      <c r="F18" s="120">
        <f t="shared" si="0"/>
        <v>17450</v>
      </c>
      <c r="G18" s="120"/>
      <c r="H18" s="120">
        <f t="shared" si="1"/>
        <v>17450</v>
      </c>
      <c r="I18" s="120"/>
      <c r="J18" s="120">
        <f t="shared" si="2"/>
        <v>17450</v>
      </c>
    </row>
    <row r="19" spans="1:10" ht="15.75">
      <c r="A19" s="119" t="s">
        <v>11</v>
      </c>
      <c r="B19" s="247">
        <v>673200</v>
      </c>
      <c r="C19" s="120"/>
      <c r="D19" s="120">
        <f t="shared" si="3"/>
        <v>168300</v>
      </c>
      <c r="E19" s="120"/>
      <c r="F19" s="120">
        <f t="shared" si="0"/>
        <v>168300</v>
      </c>
      <c r="G19" s="120"/>
      <c r="H19" s="120">
        <f t="shared" si="1"/>
        <v>168300</v>
      </c>
      <c r="I19" s="120"/>
      <c r="J19" s="120">
        <f t="shared" si="2"/>
        <v>168300</v>
      </c>
    </row>
    <row r="20" spans="1:10" ht="15.75">
      <c r="A20" s="119" t="s">
        <v>12</v>
      </c>
      <c r="B20" s="247">
        <v>389800</v>
      </c>
      <c r="C20" s="120"/>
      <c r="D20" s="120">
        <f t="shared" si="3"/>
        <v>97450</v>
      </c>
      <c r="E20" s="120"/>
      <c r="F20" s="120">
        <f t="shared" si="0"/>
        <v>97450</v>
      </c>
      <c r="G20" s="120"/>
      <c r="H20" s="120">
        <f t="shared" si="1"/>
        <v>97450</v>
      </c>
      <c r="I20" s="120"/>
      <c r="J20" s="120">
        <f t="shared" si="2"/>
        <v>97450</v>
      </c>
    </row>
    <row r="21" spans="1:10" ht="15.75">
      <c r="A21" s="119" t="s">
        <v>13</v>
      </c>
      <c r="B21" s="247">
        <v>483300</v>
      </c>
      <c r="C21" s="120"/>
      <c r="D21" s="120">
        <f t="shared" si="3"/>
        <v>120825</v>
      </c>
      <c r="E21" s="120"/>
      <c r="F21" s="120">
        <f t="shared" si="0"/>
        <v>120825</v>
      </c>
      <c r="G21" s="120"/>
      <c r="H21" s="120">
        <f t="shared" si="1"/>
        <v>120825</v>
      </c>
      <c r="I21" s="120"/>
      <c r="J21" s="120">
        <f t="shared" si="2"/>
        <v>120825</v>
      </c>
    </row>
    <row r="22" spans="1:10" ht="15.75">
      <c r="A22" s="119" t="s">
        <v>14</v>
      </c>
      <c r="B22" s="247">
        <v>329500</v>
      </c>
      <c r="C22" s="120"/>
      <c r="D22" s="120">
        <f t="shared" si="3"/>
        <v>82375</v>
      </c>
      <c r="E22" s="120"/>
      <c r="F22" s="120">
        <f t="shared" si="0"/>
        <v>82375</v>
      </c>
      <c r="G22" s="120"/>
      <c r="H22" s="120">
        <f t="shared" si="1"/>
        <v>82375</v>
      </c>
      <c r="I22" s="120"/>
      <c r="J22" s="120">
        <f t="shared" si="2"/>
        <v>82375</v>
      </c>
    </row>
    <row r="23" spans="1:10" ht="15.75">
      <c r="A23" s="119" t="s">
        <v>15</v>
      </c>
      <c r="B23" s="247">
        <v>678800</v>
      </c>
      <c r="C23" s="120"/>
      <c r="D23" s="120">
        <f t="shared" si="3"/>
        <v>169700</v>
      </c>
      <c r="E23" s="120"/>
      <c r="F23" s="120">
        <f t="shared" si="0"/>
        <v>169700</v>
      </c>
      <c r="G23" s="120"/>
      <c r="H23" s="120">
        <f t="shared" si="1"/>
        <v>169700</v>
      </c>
      <c r="I23" s="120"/>
      <c r="J23" s="120">
        <f t="shared" si="2"/>
        <v>169700</v>
      </c>
    </row>
    <row r="24" spans="1:10" ht="15.75">
      <c r="A24" s="119" t="s">
        <v>16</v>
      </c>
      <c r="B24" s="247">
        <v>643300</v>
      </c>
      <c r="C24" s="120"/>
      <c r="D24" s="120">
        <f t="shared" si="3"/>
        <v>160825</v>
      </c>
      <c r="E24" s="120"/>
      <c r="F24" s="120">
        <f t="shared" si="0"/>
        <v>160825</v>
      </c>
      <c r="G24" s="120"/>
      <c r="H24" s="120">
        <f t="shared" si="1"/>
        <v>160825</v>
      </c>
      <c r="I24" s="120"/>
      <c r="J24" s="120">
        <f t="shared" si="2"/>
        <v>160825</v>
      </c>
    </row>
    <row r="25" spans="1:10" ht="15.75">
      <c r="A25" s="119" t="s">
        <v>17</v>
      </c>
      <c r="B25" s="247">
        <v>596100</v>
      </c>
      <c r="C25" s="120"/>
      <c r="D25" s="120">
        <f t="shared" si="3"/>
        <v>149025</v>
      </c>
      <c r="E25" s="120"/>
      <c r="F25" s="120">
        <f t="shared" si="0"/>
        <v>149025</v>
      </c>
      <c r="G25" s="120"/>
      <c r="H25" s="120">
        <f t="shared" si="1"/>
        <v>149025</v>
      </c>
      <c r="I25" s="120"/>
      <c r="J25" s="120">
        <f t="shared" si="2"/>
        <v>149025</v>
      </c>
    </row>
    <row r="26" spans="1:10" ht="15.75">
      <c r="A26" s="119" t="s">
        <v>18</v>
      </c>
      <c r="B26" s="247">
        <v>445600</v>
      </c>
      <c r="C26" s="120"/>
      <c r="D26" s="120">
        <f t="shared" si="3"/>
        <v>111400</v>
      </c>
      <c r="E26" s="120"/>
      <c r="F26" s="120">
        <f t="shared" si="0"/>
        <v>111400</v>
      </c>
      <c r="G26" s="120"/>
      <c r="H26" s="120">
        <f t="shared" si="1"/>
        <v>111400</v>
      </c>
      <c r="I26" s="120"/>
      <c r="J26" s="120">
        <f t="shared" si="2"/>
        <v>111400</v>
      </c>
    </row>
    <row r="27" spans="1:10" ht="15.75">
      <c r="A27" s="119" t="s">
        <v>19</v>
      </c>
      <c r="B27" s="247">
        <v>160500</v>
      </c>
      <c r="C27" s="120"/>
      <c r="D27" s="120">
        <f t="shared" si="3"/>
        <v>40125</v>
      </c>
      <c r="E27" s="120"/>
      <c r="F27" s="120">
        <f t="shared" si="0"/>
        <v>40125</v>
      </c>
      <c r="G27" s="120"/>
      <c r="H27" s="120">
        <f t="shared" si="1"/>
        <v>40125</v>
      </c>
      <c r="I27" s="120"/>
      <c r="J27" s="120">
        <f t="shared" si="2"/>
        <v>40125</v>
      </c>
    </row>
    <row r="28" spans="1:10" ht="15.75">
      <c r="A28" s="119" t="s">
        <v>20</v>
      </c>
      <c r="B28" s="247">
        <v>149700</v>
      </c>
      <c r="C28" s="120"/>
      <c r="D28" s="120">
        <f t="shared" si="3"/>
        <v>37425</v>
      </c>
      <c r="E28" s="120"/>
      <c r="F28" s="120">
        <f t="shared" si="0"/>
        <v>37425</v>
      </c>
      <c r="G28" s="120"/>
      <c r="H28" s="120">
        <f t="shared" si="1"/>
        <v>37425</v>
      </c>
      <c r="I28" s="120"/>
      <c r="J28" s="120">
        <f t="shared" si="2"/>
        <v>37425</v>
      </c>
    </row>
    <row r="29" spans="1:10" ht="15.75">
      <c r="A29" s="119" t="s">
        <v>21</v>
      </c>
      <c r="B29" s="248">
        <v>155000</v>
      </c>
      <c r="C29" s="120"/>
      <c r="D29" s="121">
        <f t="shared" si="3"/>
        <v>38750</v>
      </c>
      <c r="E29" s="120"/>
      <c r="F29" s="121">
        <f t="shared" si="0"/>
        <v>38750</v>
      </c>
      <c r="G29" s="120"/>
      <c r="H29" s="121">
        <f t="shared" si="1"/>
        <v>38750</v>
      </c>
      <c r="I29" s="120"/>
      <c r="J29" s="121">
        <f t="shared" si="2"/>
        <v>38750</v>
      </c>
    </row>
    <row r="30" spans="1:9" ht="9" customHeight="1">
      <c r="A30" s="119"/>
      <c r="B30" s="111"/>
      <c r="D30" s="111"/>
      <c r="E30" s="111"/>
      <c r="F30" s="111"/>
      <c r="G30" s="111"/>
      <c r="H30" s="111"/>
      <c r="I30" s="111"/>
    </row>
    <row r="31" spans="1:10" s="123" customFormat="1" ht="15.75">
      <c r="A31" s="122" t="s">
        <v>48</v>
      </c>
      <c r="B31" s="122">
        <f>SUM(B7:B29)</f>
        <v>8150000</v>
      </c>
      <c r="C31" s="122"/>
      <c r="D31" s="122">
        <f>SUM(D7:D30)</f>
        <v>2037500</v>
      </c>
      <c r="E31" s="122"/>
      <c r="F31" s="122">
        <f>SUM(F7:F30)</f>
        <v>2037500</v>
      </c>
      <c r="G31" s="122"/>
      <c r="H31" s="122">
        <f>SUM(H7:H30)</f>
        <v>2037500</v>
      </c>
      <c r="I31" s="122"/>
      <c r="J31" s="122">
        <f>SUM(J7:J30)</f>
        <v>2037500</v>
      </c>
    </row>
    <row r="32" spans="1:9" ht="15.75">
      <c r="A32" s="119"/>
      <c r="B32" s="111"/>
      <c r="D32" s="111"/>
      <c r="E32" s="111"/>
      <c r="F32" s="111"/>
      <c r="G32" s="111"/>
      <c r="H32" s="111"/>
      <c r="I32" s="111"/>
    </row>
    <row r="34" spans="1:10" ht="49.5" customHeight="1">
      <c r="A34" s="355" t="s">
        <v>147</v>
      </c>
      <c r="B34" s="356"/>
      <c r="C34" s="356"/>
      <c r="D34" s="356"/>
      <c r="E34" s="356"/>
      <c r="F34" s="356"/>
      <c r="G34" s="356"/>
      <c r="H34" s="356"/>
      <c r="I34" s="356"/>
      <c r="J34" s="356"/>
    </row>
    <row r="35" spans="1:10" ht="30.75" customHeight="1">
      <c r="A35" s="357" t="s">
        <v>109</v>
      </c>
      <c r="B35" s="357"/>
      <c r="C35" s="357"/>
      <c r="D35" s="357"/>
      <c r="E35" s="357"/>
      <c r="F35" s="357"/>
      <c r="G35" s="357"/>
      <c r="H35" s="357"/>
      <c r="I35" s="357"/>
      <c r="J35" s="357"/>
    </row>
  </sheetData>
  <sheetProtection/>
  <mergeCells count="3">
    <mergeCell ref="D4:J4"/>
    <mergeCell ref="A34:J34"/>
    <mergeCell ref="A35:J35"/>
  </mergeCells>
  <printOptions/>
  <pageMargins left="1" right="0.5" top="1" bottom="0.5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Rideau</dc:creator>
  <cp:keywords/>
  <dc:description/>
  <cp:lastModifiedBy>kperkins</cp:lastModifiedBy>
  <cp:lastPrinted>2009-03-04T22:06:37Z</cp:lastPrinted>
  <dcterms:created xsi:type="dcterms:W3CDTF">2005-01-20T22:46:37Z</dcterms:created>
  <dcterms:modified xsi:type="dcterms:W3CDTF">2009-07-24T15:24:33Z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72WVDYXX2UNK-1717399031-62</vt:lpwstr>
  </property>
  <property fmtid="{D5CDD505-2E9C-101B-9397-08002B2CF9AE}" pid="4" name="_dlc_DocIdItemGu">
    <vt:lpwstr>4a2fdf9d-8246-4989-8c73-a8e761aceed6</vt:lpwstr>
  </property>
  <property fmtid="{D5CDD505-2E9C-101B-9397-08002B2CF9AE}" pid="5" name="_dlc_DocIdU">
    <vt:lpwstr>https://www2.calstate.edu/csu-system/about-the-csu/budget/_layouts/15/DocIdRedir.aspx?ID=72WVDYXX2UNK-1717399031-62, 72WVDYXX2UNK-1717399031-62</vt:lpwstr>
  </property>
</Properties>
</file>