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600" yWindow="65521" windowWidth="12645" windowHeight="12060" tabRatio="569" activeTab="0"/>
  </bookViews>
  <sheets>
    <sheet name="(A) July Revise Budget Summary" sheetId="1" r:id="rId1"/>
    <sheet name="(B) Feb SBX3_1 Base Bud Adj-rev" sheetId="2" r:id="rId2"/>
    <sheet name="(C) July Revise Base Bud Adj " sheetId="3" r:id="rId3"/>
    <sheet name="(D) Mandatory Costs" sheetId="4" r:id="rId4"/>
    <sheet name="(E) SUF and Non-Res Revenue Adj" sheetId="5" r:id="rId5"/>
    <sheet name="(F) SUG Distribution" sheetId="6" r:id="rId6"/>
    <sheet name="(G) Interest Pymt Schedule" sheetId="7" r:id="rId7"/>
  </sheets>
  <definedNames>
    <definedName name="_xlnm.Print_Area" localSheetId="0">'(A) July Revise Budget Summary'!$A$1:$S$44</definedName>
    <definedName name="_xlnm.Print_Area" localSheetId="1">'(B) Feb SBX3_1 Base Bud Adj-rev'!$A$1:$Y$42</definedName>
    <definedName name="_xlnm.Print_Area" localSheetId="2">'(C) July Revise Base Bud Adj '!$A$1:$U$43</definedName>
    <definedName name="_xlnm.Print_Area" localSheetId="3">'(D) Mandatory Costs'!$A$1:$K$42</definedName>
    <definedName name="_xlnm.Print_Area" localSheetId="4">'(E) SUF and Non-Res Revenue Adj'!$A$1:$AB$44</definedName>
    <definedName name="_xlnm.Print_Area" localSheetId="5">'(F) SUG Distribution'!$A$1:$M$34</definedName>
    <definedName name="_xlnm.Print_Titles" localSheetId="3">'(D) Mandatory Costs'!$A:$A,'(D) Mandatory Costs'!$1:$2</definedName>
  </definedNames>
  <calcPr fullCalcOnLoad="1"/>
</workbook>
</file>

<file path=xl/sharedStrings.xml><?xml version="1.0" encoding="utf-8"?>
<sst xmlns="http://schemas.openxmlformats.org/spreadsheetml/2006/main" count="337" uniqueCount="176">
  <si>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</si>
  <si>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</si>
  <si>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</si>
  <si>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</si>
  <si>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</si>
  <si>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</si>
  <si>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</si>
  <si>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</si>
  <si>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</si>
  <si>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</si>
  <si>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</si>
  <si>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</si>
  <si>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</si>
  <si>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</si>
  <si>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</si>
  <si>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</si>
  <si>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</si>
  <si>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</si>
  <si>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</si>
  <si>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</si>
  <si>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</si>
  <si>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</si>
  <si>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</si>
  <si>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</si>
  <si>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</si>
  <si>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</si>
  <si>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</si>
  <si>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</si>
  <si>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</si>
  <si>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</si>
  <si>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Campus Reported State University Fee Revenue</t>
  </si>
  <si>
    <t>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</si>
  <si>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</si>
  <si>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r>
      <t>Unadjusted Other Fee Revenue and Reim.</t>
    </r>
    <r>
      <rPr>
        <vertAlign val="superscript"/>
        <sz val="10"/>
        <rFont val="Times New Roman"/>
        <family val="1"/>
      </rPr>
      <t>1</t>
    </r>
  </si>
  <si>
    <t>CalStateTeach</t>
  </si>
  <si>
    <t xml:space="preserve"> Operating Fee Revenue Interest Assessment Increase</t>
  </si>
  <si>
    <t>General Fund</t>
  </si>
  <si>
    <t>2008/09 FIRMS Final Budget Detail</t>
  </si>
  <si>
    <t>2009/10 Budget Plan Adjustments</t>
  </si>
  <si>
    <t>2009/10 Gross Budget Allocation</t>
  </si>
  <si>
    <t>2008/09 Retirement Adjustment</t>
  </si>
  <si>
    <t>(Sum Cols. 1-2)</t>
  </si>
  <si>
    <t>(Sum Cols. 3-4)</t>
  </si>
  <si>
    <r>
      <t xml:space="preserve">Revised General Fund Base              </t>
    </r>
    <r>
      <rPr>
        <i/>
        <sz val="9"/>
        <color indexed="8"/>
        <rFont val="Times New Roman"/>
        <family val="1"/>
      </rPr>
      <t>(with retirement adjustment)</t>
    </r>
  </si>
  <si>
    <r>
      <t xml:space="preserve">Revised General Fund Base             </t>
    </r>
    <r>
      <rPr>
        <i/>
        <sz val="9"/>
        <color indexed="8"/>
        <rFont val="Times New Roman"/>
        <family val="1"/>
      </rPr>
      <t xml:space="preserve"> (after $66.3M reduction)</t>
    </r>
  </si>
  <si>
    <t>GF Base Adjustments</t>
  </si>
  <si>
    <t>Financial Aid / State University Grant (SUG) Distribution Based on Need</t>
  </si>
  <si>
    <t>2008/09 Special Session Unallocated GF Reduction ($66.3M)</t>
  </si>
  <si>
    <t>(Sum Cols. 7-9)</t>
  </si>
  <si>
    <r>
      <t>B 08-03 General Fund Allocation</t>
    </r>
    <r>
      <rPr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(September 2008)</t>
    </r>
  </si>
  <si>
    <r>
      <t xml:space="preserve">2008/09 General Fund Allocation       B08-03       </t>
    </r>
    <r>
      <rPr>
        <i/>
        <sz val="9"/>
        <rFont val="Times New Roman"/>
        <family val="1"/>
      </rPr>
      <t>(September 2008)</t>
    </r>
  </si>
  <si>
    <t>General Fund Allocation</t>
  </si>
  <si>
    <t>(Sum Cols. 1-4)</t>
  </si>
  <si>
    <t>Faculty PPI Program</t>
  </si>
  <si>
    <t>Energy</t>
  </si>
  <si>
    <t>Dental</t>
  </si>
  <si>
    <t>Health</t>
  </si>
  <si>
    <t>GF Base Adjustment for New Space Need</t>
  </si>
  <si>
    <t>Resident Students</t>
  </si>
  <si>
    <t>Non-Resident Students</t>
  </si>
  <si>
    <t>One-Third Financial Aid Set-Aside</t>
  </si>
  <si>
    <r>
      <t>2009/10 Non-resident FTES</t>
    </r>
    <r>
      <rPr>
        <vertAlign val="superscript"/>
        <sz val="10"/>
        <rFont val="Times New Roman"/>
        <family val="1"/>
      </rPr>
      <t>2</t>
    </r>
  </si>
  <si>
    <r>
      <t>SUF Revenue Adjust. from Change in Actual Non-resident FTES and Student Enrollment Patterns</t>
    </r>
    <r>
      <rPr>
        <vertAlign val="superscript"/>
        <sz val="10"/>
        <rFont val="Times New Roman"/>
        <family val="1"/>
      </rPr>
      <t>1,2</t>
    </r>
  </si>
  <si>
    <t>(Sum Cols. 2-4)</t>
  </si>
  <si>
    <t>(Cols. 1+6)</t>
  </si>
  <si>
    <t>(Cols. 2+4+7+9)</t>
  </si>
  <si>
    <t>(Cols. 3+8)</t>
  </si>
  <si>
    <t>(Cols. 12+13)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</si>
  <si>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Represents change in actual student enrollment patterns from 2006/07 to 2007/08 (most recent past-year actuals available)</t>
    </r>
  </si>
  <si>
    <r>
      <t>2</t>
    </r>
    <r>
      <rPr>
        <sz val="11"/>
        <rFont val="Times New Roman"/>
        <family val="1"/>
      </rPr>
      <t>2009/10 non-resident FTES budgeted by campus is the most recent past year actuals available (2007/08); the total 14,510 is an increase of 1,353 FTES from 2006/07 FTES of 13,157</t>
    </r>
  </si>
  <si>
    <t>2008/09 Allocations From Final Budget Memo - July 2008</t>
  </si>
  <si>
    <t xml:space="preserve">Total 2009/10 SUG Funding Available / 100% Distributed Based on Need </t>
  </si>
  <si>
    <t>%</t>
  </si>
  <si>
    <t>(Col. 2 less Col. 1)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</si>
  <si>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</si>
  <si>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</si>
  <si>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</si>
  <si>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</si>
  <si>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</si>
  <si>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</si>
  <si>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</si>
  <si>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</si>
  <si>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</si>
  <si>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</si>
  <si>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</si>
  <si>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</si>
  <si>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</si>
  <si>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</si>
  <si>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</si>
  <si>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</si>
  <si>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</si>
  <si>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</si>
  <si>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</si>
  <si>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Attachment G, CSU Operating Revenue - 2009/10 Interest Payment Schedule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</si>
  <si>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</si>
  <si>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</si>
  <si>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</si>
  <si>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</si>
  <si>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2009/10 operating revenue interest assessment is $8.15M, which represents a $242,000 increase to the 2008/09 $7.9M payment.  CSU is obligated by budget statute to keep the State whole for interest earned on student fee revenue held in trust. This was the result of a State/CSU agreement when CSU support operations moved from the General Fund to the Trust Fund in 2006/07. </t>
    </r>
  </si>
  <si>
    <t xml:space="preserve">The 2009/10 interest chargeback by campus is based on the campus operating revenue equivalent to the 2008/09 SUF and Other Fee Revenue reported in 2008/09 FIRMS final budget submissions. </t>
  </si>
  <si>
    <t>(Included with the 2009/10 July Revise Budget allocation memo for information purposes)</t>
  </si>
  <si>
    <r>
      <t>3</t>
    </r>
    <r>
      <rPr>
        <sz val="11"/>
        <rFont val="Times New Roman"/>
        <family val="1"/>
      </rPr>
      <t>SDSU resident student SUF revenue from 10% SUF rate increase revised from $8,809,000 to $5,045,000 (due to unreported fee waivers included in March allocations)</t>
    </r>
  </si>
  <si>
    <r>
      <t xml:space="preserve">$50M Base Reduction </t>
    </r>
    <r>
      <rPr>
        <sz val="9"/>
        <color indexed="8"/>
        <rFont val="Times New Roman"/>
        <family val="1"/>
      </rPr>
      <t>(April 1 Reduction)</t>
    </r>
  </si>
  <si>
    <t>(Cols. 2,4, 6-11)</t>
  </si>
  <si>
    <t>(Cols. 1+12)</t>
  </si>
  <si>
    <t>New Space Need Funded by GF Redistribution</t>
  </si>
  <si>
    <t>ATTACHMENT E - 2009/10 State University Fee (SUF) Revenue and Nonresident Tuition Adjustments</t>
  </si>
  <si>
    <t>Non-Resident SUF Revenue Adjust. Net of Financial Aid Set-Aside</t>
  </si>
  <si>
    <t>Resident SUF Revenue Adjust. Net of Financial Aid Set-Aside</t>
  </si>
  <si>
    <t>Revenue from 10% SUF Rate Increase</t>
  </si>
  <si>
    <r>
      <t>SUF Revenue Adjustments from Change in Student Enrollment Patterns</t>
    </r>
    <r>
      <rPr>
        <vertAlign val="superscript"/>
        <sz val="10"/>
        <rFont val="Times New Roman"/>
        <family val="1"/>
      </rPr>
      <t>1</t>
    </r>
  </si>
  <si>
    <t>Revenue from 20% SUF Rate Increase (Resident and Nonresident Students)</t>
  </si>
  <si>
    <t>2009/10 Resident FTES Targets (same as 2007/08)</t>
  </si>
  <si>
    <t>Fee Revenue</t>
  </si>
  <si>
    <t>(Attach. E, Col. 19)</t>
  </si>
  <si>
    <t>Total Base Adjustments (SBX3_1 and July Revise)</t>
  </si>
  <si>
    <t>Nonresident Tuition Increase</t>
  </si>
  <si>
    <t>Nonresident Tuition Revenue</t>
  </si>
  <si>
    <r>
      <t>Total 2009 /10 SUF Revenue Increase</t>
    </r>
    <r>
      <rPr>
        <vertAlign val="superscript"/>
        <sz val="10"/>
        <rFont val="Times New Roman"/>
        <family val="1"/>
      </rPr>
      <t>2</t>
    </r>
  </si>
  <si>
    <t>2009 /10 Nonresident Tuition Increase</t>
  </si>
  <si>
    <t>(Cols. 2+7)</t>
  </si>
  <si>
    <r>
      <t>(=Col. 4)</t>
    </r>
    <r>
      <rPr>
        <i/>
        <vertAlign val="superscript"/>
        <sz val="9"/>
        <rFont val="Times New Roman"/>
        <family val="1"/>
      </rPr>
      <t>1</t>
    </r>
  </si>
  <si>
    <t>(Sum Cols. 9-12)</t>
  </si>
  <si>
    <t>2009/10 20% SUF Revenue Increase approved by BOT on July 21, 2009</t>
  </si>
  <si>
    <t>2009/10 $990 AY Nonresident Tuition Increase Revenue approved July 21, 2009</t>
  </si>
  <si>
    <t>Total SUF Revenue Increase</t>
  </si>
  <si>
    <t>Total 2009/10 July Revise SUF Revenue Increase</t>
  </si>
  <si>
    <t>(Cols. 12+15)</t>
  </si>
  <si>
    <r>
      <t xml:space="preserve">March 5, 2009, Coded Memo B 09-01 SUF Revenue Adjustments </t>
    </r>
    <r>
      <rPr>
        <i/>
        <sz val="12"/>
        <rFont val="Times New Roman"/>
        <family val="1"/>
      </rPr>
      <t>(2009/10 10% SUF Rate Increase and Adjustments from Change in Student Enrollment Patterns)</t>
    </r>
    <r>
      <rPr>
        <i/>
        <vertAlign val="superscript"/>
        <sz val="12"/>
        <rFont val="Times New Roman"/>
        <family val="1"/>
      </rPr>
      <t>3</t>
    </r>
  </si>
  <si>
    <t>20% SUF Revenue Increase Net of Financial Aid Set-Aside</t>
  </si>
  <si>
    <t>FTES</t>
  </si>
  <si>
    <t>Revenue Adjustment from 10% SUF Rate Increase and Change in Enrollment Patterns</t>
  </si>
  <si>
    <t>One-Third Financial Aid Set-Aside from 10% SUF Rate Increase</t>
  </si>
  <si>
    <t>Total Coded Memo B 09-01 SUF Revenue Adjustment</t>
  </si>
  <si>
    <t>(Attach. E, Col. 18)</t>
  </si>
  <si>
    <t>Coded Memo   B-09-01 SUF Revenue Increase Net of Financial Aid Set-Aside</t>
  </si>
  <si>
    <t>Represents other CSU Operating Fund fee revenue (other 501XXX, 5800XX) besides SUF and Nonresident Tuition; also, the only reimbursements included is lease bond payments reimbursement in SWPs (which changes in 2009/10)</t>
  </si>
  <si>
    <t>Includes SUF revenue from 2009 10% SUF rate increase approved by BOT in May 2009, revenue from change in actual student enrollment patterns, and 2009 20% SUF rate increase approved by BOT in July 2009</t>
  </si>
  <si>
    <t>2009/10 Financial Aid Set-Aside from 20% SUF Rate Increase</t>
  </si>
  <si>
    <t>One-Third Set-Aside for Financial Aid from initial 10% 2009/10 SUF Revenue Increase</t>
  </si>
  <si>
    <t>One-Third Set-Aside for Financial Aid from additional 20% 2009/10 SUF Revenue Increase</t>
  </si>
  <si>
    <t>(Sum Cols. 1-5)</t>
  </si>
  <si>
    <r>
      <t>New Space Need</t>
    </r>
    <r>
      <rPr>
        <b/>
        <vertAlign val="superscript"/>
        <sz val="11"/>
        <rFont val="Times New Roman"/>
        <family val="1"/>
      </rPr>
      <t xml:space="preserve"> 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</si>
  <si>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Includes 2008/09 new space need @ $9.10 sq. ft. and 2009/10 new space need @ $9.41 sq. ft.; due to project delays, CSULA cancelled $876,800 for new space need that was included in 09/10 budget plan and Coded Memo B 09-01</t>
    </r>
  </si>
  <si>
    <r>
      <t xml:space="preserve">February 2009, SBX3_1, 2009/10           General Fund Base </t>
    </r>
    <r>
      <rPr>
        <b/>
        <sz val="9"/>
        <color indexed="8"/>
        <rFont val="Times New Roman"/>
        <family val="1"/>
      </rPr>
      <t>(Adjusted / Reference Attach. B)</t>
    </r>
  </si>
  <si>
    <r>
      <t xml:space="preserve">$255M Governor's Line Item Veto </t>
    </r>
    <r>
      <rPr>
        <i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</si>
  <si>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>February 2009, SBX3_1, 2009/10           General Fund Base (adjusted</t>
    </r>
    <r>
      <rPr>
        <b/>
        <vertAlign val="superscript"/>
        <sz val="10"/>
        <color indexed="8"/>
        <rFont val="Times New Roman"/>
        <family val="1"/>
      </rPr>
      <t>1)</t>
    </r>
  </si>
  <si>
    <r>
      <t>February 2009 SBX3_1, General Fund Base Adjustments (adjusted</t>
    </r>
    <r>
      <rPr>
        <b/>
        <vertAlign val="superscript"/>
        <sz val="10"/>
        <color indexed="8"/>
        <rFont val="Times New Roman"/>
        <family val="1"/>
      </rPr>
      <t>1)</t>
    </r>
  </si>
  <si>
    <r>
      <t xml:space="preserve">$266.1M Unallocated Reduction </t>
    </r>
    <r>
      <rPr>
        <vertAlign val="superscript"/>
        <sz val="10"/>
        <rFont val="Times New Roman"/>
        <family val="1"/>
      </rPr>
      <t>1</t>
    </r>
  </si>
  <si>
    <t>(Cols. 1 + 4)</t>
  </si>
  <si>
    <t>(Cols. 6 thru 8)</t>
  </si>
  <si>
    <t>(Cols. 5 + 9)</t>
  </si>
  <si>
    <t>(Attach. B, Col. 12 + Attach. C, Cols. 4+9)</t>
  </si>
  <si>
    <r>
      <t>ATTACHMENT F -  2009/10 Final Budget, State University Grant (SUG) Adjustment Distributed</t>
    </r>
    <r>
      <rPr>
        <b/>
        <vertAlign val="superscript"/>
        <sz val="13"/>
        <rFont val="Times New Roman"/>
        <family val="1"/>
      </rPr>
      <t>1</t>
    </r>
  </si>
  <si>
    <t>2009/10 SUG Adjustments from SUF Rate Increases</t>
  </si>
  <si>
    <t>(Cols. 2 + 3)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</si>
  <si>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0"/>
      </rPr>
      <t xml:space="preserve"> GF pro-rata distribution of $255M Governor's Line-Item Veto and $266.1M are based on February 2009 SBX3_1, 2009/10 GF base; the $266.1M distribution also reflect adjustments to redistribute nonresident tuition revenue increase and to offset campuses with no or limited FTES target reductions</t>
    </r>
  </si>
  <si>
    <t>$</t>
  </si>
  <si>
    <r>
      <t>2009/10 SUG Adjustment Distributed</t>
    </r>
    <r>
      <rPr>
        <b/>
        <i/>
        <sz val="11"/>
        <rFont val="Times New Roman"/>
        <family val="1"/>
      </rPr>
      <t xml:space="preserve">                    </t>
    </r>
    <r>
      <rPr>
        <b/>
        <i/>
        <sz val="10"/>
        <rFont val="Times New Roman"/>
        <family val="1"/>
      </rPr>
      <t>(Sum of Attach. B, Col. 11 + Attach. C, Col. 3)</t>
    </r>
  </si>
  <si>
    <t>SUG Academic Year (AY) Eligibility Based on 2007/08 Final Database With 2009/10 Fee Levels</t>
  </si>
  <si>
    <t>SUG AY Eligibility Further Adjusted to Reflect Funded Enrollment Targets from 2007/08 to 2009/10</t>
  </si>
  <si>
    <t>ATTACHMENT A - 2009/10 July Revise Final Budget Allocations, Gross Budget Summary</t>
  </si>
  <si>
    <t>ATTACHMENT C - 2009/10 July Revise Final Budget, Base Budget Adjustments</t>
  </si>
  <si>
    <t>2009/10 CSU July Revise Final Budget</t>
  </si>
  <si>
    <r>
      <t xml:space="preserve">ATTACHMENT B -- 2009/10 February 2009, SBX3_1, Base Budget Adjustments, Coded Memo B 09-01 (March 5, 2009) </t>
    </r>
    <r>
      <rPr>
        <b/>
        <i/>
        <sz val="12"/>
        <color indexed="8"/>
        <rFont val="Times New Roman"/>
        <family val="1"/>
      </rPr>
      <t>Revised</t>
    </r>
    <r>
      <rPr>
        <b/>
        <i/>
        <vertAlign val="superscript"/>
        <sz val="12"/>
        <color indexed="8"/>
        <rFont val="Times New Roman"/>
        <family val="1"/>
      </rPr>
      <t>1</t>
    </r>
  </si>
  <si>
    <t>July Revise, General Fund Base Expenditure Reductions</t>
  </si>
  <si>
    <t>July Revise 2009/10 General Fund Base Before Base Expenditure Reductions</t>
  </si>
  <si>
    <t>Coded Memo B 09-02, July 31, 2009</t>
  </si>
  <si>
    <t>ATTACHMENT D - 2009/10 Mandatory Costs Increases</t>
  </si>
  <si>
    <t>Mandatory Costs and PPI Program Increases</t>
  </si>
  <si>
    <t>Total Mandatory Costs Increases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</si>
  <si>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0"/>
      </rPr>
      <t>Revisions to February base budget adjustments include (1) removal of the Governor's January proposal to replace $49.5 million in lottery revenue with GF (held in SWPs in March allocations) after Proposition 1-C in the 5/19/09 election failed; (2) $2.2M moved from SWPs to C.O.; (3) CSULA and SDSU adjustments for new space need: CSULA change from $33,800 to $0, SDSU change from $0 to $32,600; (4) SDSU's Set-Aside for Financial Aid reduced by $118,000 (Col. 10) resulting in changes in SUG distribution by campus (Col. 11)</t>
    </r>
  </si>
  <si>
    <r>
      <t>July Revise 2009/10 GF Base Adjustments Related to Additional Financial Aid</t>
    </r>
    <r>
      <rPr>
        <vertAlign val="superscript"/>
        <sz val="10"/>
        <color indexed="8"/>
        <rFont val="Times New Roman"/>
        <family val="1"/>
      </rPr>
      <t xml:space="preserve"> 2</t>
    </r>
  </si>
  <si>
    <t>Adjustments since March preliminary allocations are due to (1) reduction in SDSU revenue resulting in $118,000 less financial aid set-aside, and (2) additional 20% increase in SUF rates resulting in $78,647,000 greater financial aid set-aside (note that SUG distribution was revised after July 23, 2009)</t>
  </si>
  <si>
    <r>
      <t>July Revise, 2009/10           General Fund Base</t>
    </r>
    <r>
      <rPr>
        <b/>
        <vertAlign val="superscript"/>
        <sz val="10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</si>
  <si>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 xml:space="preserve"> SUG distribution was revised after July 23, 2009 impacting campus GF base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</si>
</sst>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00%"/>
    <numFmt numFmtId="167" formatCode="&quot;$&quot;#,##0"/>
    <numFmt numFmtId="168" formatCode="mmmm\-yy"/>
    <numFmt numFmtId="169" formatCode="#,##0.0_);\(#,##0.0\)"/>
    <numFmt numFmtId="170" formatCode="&quot;$&quot;#,##0.0_);\(&quot;$&quot;#,##0.0\)"/>
    <numFmt numFmtId="171" formatCode="0.0000%"/>
    <numFmt numFmtId="172" formatCode="0.00000%"/>
    <numFmt numFmtId="173" formatCode="0.000000%"/>
    <numFmt numFmtId="174" formatCode="_(* #,##0.0_);_(* \(#,##0.0\);_(* &quot;-&quot;??_);_(@_)"/>
    <numFmt numFmtId="175" formatCode="_(* #,##0_);_(* \(#,##0\);_(* &quot;-&quot;??_);_(@_)"/>
    <numFmt numFmtId="176" formatCode="#,##0_____);\-#,##0_____)"/>
    <numFmt numFmtId="177" formatCode="#,##0_______);\-#,##0_______)"/>
    <numFmt numFmtId="178" formatCode="#,##0.0"/>
    <numFmt numFmtId="179" formatCode="#,##0.0_______);\-#,##0.0_______)"/>
    <numFmt numFmtId="180" formatCode="#,##0.#####"/>
    <numFmt numFmtId="181" formatCode="###0"/>
    <numFmt numFmtId="182" formatCode="\+#,##0"/>
    <numFmt numFmtId="183" formatCode="mm/dd/yy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[$-409]dddd\,\ mmmm\ dd\,\ yyyy"/>
    <numFmt numFmtId="197" formatCode="mmm\-yyyy"/>
    <numFmt numFmtId="198" formatCode="&quot;$&quot;#,##0.000_);\(&quot;$&quot;#,##0.000\)"/>
    <numFmt numFmtId="199" formatCode="&quot;$&quot;#,##0.0000_);\(&quot;$&quot;#,##0.0000\)"/>
    <numFmt numFmtId="200" formatCode="&quot;$&quot;#,##0.00000_);\(&quot;$&quot;#,##0.00000\)"/>
    <numFmt numFmtId="201" formatCode="&quot;$&quot;#,##0.000000_);\(&quot;$&quot;#,##0.000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_);\(&quot;$&quot;#,##0.0000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000000_);\(#,##0.000000000\)"/>
    <numFmt numFmtId="216" formatCode="#,##0.0000000000_);\(#,##0.0000000000\)"/>
    <numFmt numFmtId="217" formatCode="&quot;$&quot;#,##0.00000"/>
    <numFmt numFmtId="218" formatCode="&quot;$&quot;#,##0.0000000"/>
    <numFmt numFmtId="219" formatCode="_(* #,##0.000_);_(* \(#,##0.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00_);_(* \(#,##0.000000\);_(* &quot;-&quot;??_);_(@_)"/>
    <numFmt numFmtId="223" formatCode="_(* #,##0.000000_);_(* \(#,##0.000000\);_(* &quot;-&quot;??????_);_(@_)"/>
    <numFmt numFmtId="224" formatCode="0.000000000"/>
    <numFmt numFmtId="225" formatCode="0.0000"/>
  </numFmts>
  <fonts count="10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9"/>
      <name val="Times New Roman"/>
      <family val="1"/>
    </font>
    <font>
      <i/>
      <sz val="11"/>
      <name val="Times New Roman"/>
      <family val="1"/>
    </font>
    <font>
      <i/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vertAlign val="superscript"/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3"/>
      <name val="Times New Roman"/>
      <family val="1"/>
    </font>
    <font>
      <b/>
      <i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8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9" fillId="0" borderId="12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6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 wrapText="1"/>
    </xf>
    <xf numFmtId="37" fontId="13" fillId="0" borderId="13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right" indent="1"/>
    </xf>
    <xf numFmtId="37" fontId="0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 wrapText="1"/>
    </xf>
    <xf numFmtId="37" fontId="9" fillId="0" borderId="14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 wrapText="1"/>
    </xf>
    <xf numFmtId="37" fontId="9" fillId="0" borderId="13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center" wrapText="1"/>
    </xf>
    <xf numFmtId="37" fontId="15" fillId="0" borderId="0" xfId="0" applyNumberFormat="1" applyFont="1" applyFill="1" applyBorder="1" applyAlignment="1">
      <alignment horizontal="left" vertical="top" wrapText="1"/>
    </xf>
    <xf numFmtId="37" fontId="0" fillId="0" borderId="10" xfId="0" applyNumberFormat="1" applyFont="1" applyFill="1" applyBorder="1" applyAlignment="1">
      <alignment horizontal="center" wrapText="1"/>
    </xf>
    <xf numFmtId="37" fontId="3" fillId="0" borderId="15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center" wrapText="1"/>
    </xf>
    <xf numFmtId="5" fontId="12" fillId="0" borderId="11" xfId="0" applyNumberFormat="1" applyFont="1" applyFill="1" applyBorder="1" applyAlignment="1">
      <alignment/>
    </xf>
    <xf numFmtId="5" fontId="12" fillId="0" borderId="12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12" fillId="0" borderId="0" xfId="0" applyNumberFormat="1" applyFont="1" applyFill="1" applyAlignment="1">
      <alignment/>
    </xf>
    <xf numFmtId="5" fontId="12" fillId="0" borderId="11" xfId="0" applyNumberFormat="1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0" xfId="0" applyNumberFormat="1" applyFont="1" applyBorder="1" applyAlignment="1">
      <alignment/>
    </xf>
    <xf numFmtId="5" fontId="12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12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2" fillId="0" borderId="16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5" fontId="12" fillId="0" borderId="13" xfId="0" applyNumberFormat="1" applyFont="1" applyFill="1" applyBorder="1" applyAlignment="1">
      <alignment/>
    </xf>
    <xf numFmtId="37" fontId="12" fillId="0" borderId="13" xfId="0" applyNumberFormat="1" applyFont="1" applyFill="1" applyBorder="1" applyAlignment="1">
      <alignment/>
    </xf>
    <xf numFmtId="5" fontId="12" fillId="0" borderId="17" xfId="0" applyNumberFormat="1" applyFont="1" applyFill="1" applyBorder="1" applyAlignment="1">
      <alignment/>
    </xf>
    <xf numFmtId="5" fontId="12" fillId="0" borderId="18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37" fontId="10" fillId="0" borderId="0" xfId="0" applyNumberFormat="1" applyFont="1" applyFill="1" applyBorder="1" applyAlignment="1" quotePrefix="1">
      <alignment horizontal="center" vertical="center" wrapText="1"/>
    </xf>
    <xf numFmtId="37" fontId="15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center"/>
    </xf>
    <xf numFmtId="37" fontId="91" fillId="0" borderId="0" xfId="0" applyNumberFormat="1" applyFont="1" applyFill="1" applyBorder="1" applyAlignment="1">
      <alignment horizontal="center" wrapText="1"/>
    </xf>
    <xf numFmtId="5" fontId="12" fillId="0" borderId="13" xfId="0" applyNumberFormat="1" applyFont="1" applyFill="1" applyBorder="1" applyAlignment="1">
      <alignment horizontal="right" indent="1"/>
    </xf>
    <xf numFmtId="37" fontId="12" fillId="0" borderId="13" xfId="0" applyNumberFormat="1" applyFont="1" applyFill="1" applyBorder="1" applyAlignment="1">
      <alignment horizontal="right" indent="1"/>
    </xf>
    <xf numFmtId="5" fontId="12" fillId="0" borderId="17" xfId="0" applyNumberFormat="1" applyFont="1" applyFill="1" applyBorder="1" applyAlignment="1">
      <alignment horizontal="right" indent="1"/>
    </xf>
    <xf numFmtId="37" fontId="92" fillId="0" borderId="0" xfId="0" applyNumberFormat="1" applyFont="1" applyFill="1" applyAlignment="1">
      <alignment/>
    </xf>
    <xf numFmtId="37" fontId="91" fillId="0" borderId="0" xfId="0" applyNumberFormat="1" applyFont="1" applyFill="1" applyAlignment="1">
      <alignment/>
    </xf>
    <xf numFmtId="37" fontId="0" fillId="0" borderId="0" xfId="64" applyNumberFormat="1" applyFont="1">
      <alignment/>
      <protection/>
    </xf>
    <xf numFmtId="5" fontId="0" fillId="0" borderId="0" xfId="64" applyNumberFormat="1" applyFont="1">
      <alignment/>
      <protection/>
    </xf>
    <xf numFmtId="37" fontId="12" fillId="0" borderId="0" xfId="64" applyNumberFormat="1" applyFont="1" applyFill="1" applyAlignment="1">
      <alignment vertical="top"/>
      <protection/>
    </xf>
    <xf numFmtId="209" fontId="12" fillId="0" borderId="12" xfId="0" applyNumberFormat="1" applyFont="1" applyFill="1" applyBorder="1" applyAlignment="1">
      <alignment/>
    </xf>
    <xf numFmtId="209" fontId="12" fillId="0" borderId="0" xfId="0" applyNumberFormat="1" applyFont="1" applyFill="1" applyBorder="1" applyAlignment="1">
      <alignment/>
    </xf>
    <xf numFmtId="209" fontId="93" fillId="0" borderId="0" xfId="0" applyNumberFormat="1" applyFont="1" applyFill="1" applyBorder="1" applyAlignment="1">
      <alignment/>
    </xf>
    <xf numFmtId="209" fontId="12" fillId="0" borderId="11" xfId="0" applyNumberFormat="1" applyFont="1" applyFill="1" applyBorder="1" applyAlignment="1">
      <alignment/>
    </xf>
    <xf numFmtId="37" fontId="94" fillId="0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37" fontId="12" fillId="0" borderId="0" xfId="64" applyNumberFormat="1" applyFont="1" applyFill="1" applyBorder="1" applyAlignment="1">
      <alignment/>
      <protection/>
    </xf>
    <xf numFmtId="5" fontId="12" fillId="0" borderId="11" xfId="64" applyNumberFormat="1" applyFont="1" applyFill="1" applyBorder="1" applyAlignment="1">
      <alignment/>
      <protection/>
    </xf>
    <xf numFmtId="5" fontId="12" fillId="0" borderId="12" xfId="64" applyNumberFormat="1" applyFont="1" applyFill="1" applyBorder="1" applyAlignment="1">
      <alignment/>
      <protection/>
    </xf>
    <xf numFmtId="37" fontId="95" fillId="0" borderId="0" xfId="0" applyNumberFormat="1" applyFont="1" applyFill="1" applyBorder="1" applyAlignment="1">
      <alignment horizontal="center" wrapText="1"/>
    </xf>
    <xf numFmtId="37" fontId="95" fillId="0" borderId="0" xfId="0" applyNumberFormat="1" applyFont="1" applyFill="1" applyAlignment="1">
      <alignment/>
    </xf>
    <xf numFmtId="37" fontId="3" fillId="0" borderId="14" xfId="0" applyNumberFormat="1" applyFont="1" applyFill="1" applyBorder="1" applyAlignment="1">
      <alignment horizontal="center" wrapText="1"/>
    </xf>
    <xf numFmtId="37" fontId="6" fillId="0" borderId="0" xfId="0" applyNumberFormat="1" applyFont="1" applyFill="1" applyBorder="1" applyAlignment="1">
      <alignment/>
    </xf>
    <xf numFmtId="5" fontId="12" fillId="0" borderId="18" xfId="64" applyNumberFormat="1" applyFont="1" applyFill="1" applyBorder="1" applyAlignment="1">
      <alignment/>
      <protection/>
    </xf>
    <xf numFmtId="5" fontId="12" fillId="0" borderId="0" xfId="50" applyNumberFormat="1" applyFont="1" applyFill="1" applyBorder="1" applyAlignment="1">
      <alignment/>
    </xf>
    <xf numFmtId="37" fontId="96" fillId="0" borderId="0" xfId="0" applyNumberFormat="1" applyFont="1" applyFill="1" applyAlignment="1">
      <alignment/>
    </xf>
    <xf numFmtId="37" fontId="0" fillId="0" borderId="0" xfId="64" applyNumberFormat="1" applyFill="1">
      <alignment/>
      <protection/>
    </xf>
    <xf numFmtId="37" fontId="12" fillId="0" borderId="0" xfId="64" applyNumberFormat="1" applyFont="1" applyFill="1">
      <alignment/>
      <protection/>
    </xf>
    <xf numFmtId="37" fontId="0" fillId="0" borderId="0" xfId="64" applyNumberFormat="1" applyFill="1" applyBorder="1" applyAlignment="1">
      <alignment horizontal="left"/>
      <protection/>
    </xf>
    <xf numFmtId="37" fontId="0" fillId="0" borderId="0" xfId="64" applyNumberFormat="1" applyFill="1" applyAlignment="1">
      <alignment horizontal="left"/>
      <protection/>
    </xf>
    <xf numFmtId="37" fontId="15" fillId="0" borderId="0" xfId="64" applyNumberFormat="1" applyFont="1" applyFill="1" applyBorder="1" applyAlignment="1">
      <alignment horizontal="left"/>
      <protection/>
    </xf>
    <xf numFmtId="37" fontId="12" fillId="0" borderId="0" xfId="64" applyNumberFormat="1" applyFont="1" applyFill="1" applyAlignment="1">
      <alignment/>
      <protection/>
    </xf>
    <xf numFmtId="37" fontId="25" fillId="0" borderId="0" xfId="64" applyNumberFormat="1" applyFont="1" applyFill="1">
      <alignment/>
      <protection/>
    </xf>
    <xf numFmtId="37" fontId="15" fillId="0" borderId="0" xfId="64" applyNumberFormat="1" applyFont="1" applyFill="1" applyBorder="1" applyAlignment="1">
      <alignment horizontal="left" vertical="top"/>
      <protection/>
    </xf>
    <xf numFmtId="37" fontId="6" fillId="0" borderId="0" xfId="64" applyNumberFormat="1" applyFont="1" applyFill="1" applyBorder="1" applyAlignment="1">
      <alignment horizontal="left"/>
      <protection/>
    </xf>
    <xf numFmtId="5" fontId="12" fillId="0" borderId="0" xfId="64" applyNumberFormat="1" applyFont="1" applyFill="1" applyBorder="1" applyAlignment="1">
      <alignment/>
      <protection/>
    </xf>
    <xf numFmtId="37" fontId="12" fillId="0" borderId="12" xfId="64" applyNumberFormat="1" applyFont="1" applyFill="1" applyBorder="1" applyAlignment="1">
      <alignment/>
      <protection/>
    </xf>
    <xf numFmtId="37" fontId="25" fillId="0" borderId="0" xfId="64" applyNumberFormat="1" applyFont="1" applyFill="1" applyBorder="1" applyAlignment="1">
      <alignment/>
      <protection/>
    </xf>
    <xf numFmtId="37" fontId="12" fillId="0" borderId="0" xfId="64" applyNumberFormat="1" applyFont="1" applyBorder="1" applyAlignment="1">
      <alignment/>
      <protection/>
    </xf>
    <xf numFmtId="37" fontId="93" fillId="0" borderId="0" xfId="64" applyNumberFormat="1" applyFont="1" applyFill="1" applyBorder="1" applyAlignment="1">
      <alignment/>
      <protection/>
    </xf>
    <xf numFmtId="37" fontId="12" fillId="0" borderId="11" xfId="64" applyNumberFormat="1" applyFont="1" applyFill="1" applyBorder="1" applyAlignment="1">
      <alignment/>
      <protection/>
    </xf>
    <xf numFmtId="37" fontId="93" fillId="0" borderId="0" xfId="64" applyNumberFormat="1" applyFont="1">
      <alignment/>
      <protection/>
    </xf>
    <xf numFmtId="5" fontId="0" fillId="0" borderId="0" xfId="64" applyNumberFormat="1" applyFill="1">
      <alignment/>
      <protection/>
    </xf>
    <xf numFmtId="5" fontId="12" fillId="0" borderId="0" xfId="64" applyNumberFormat="1" applyFont="1" applyFill="1">
      <alignment/>
      <protection/>
    </xf>
    <xf numFmtId="5" fontId="12" fillId="0" borderId="0" xfId="64" applyNumberFormat="1" applyFont="1" applyBorder="1" applyAlignment="1">
      <alignment/>
      <protection/>
    </xf>
    <xf numFmtId="5" fontId="93" fillId="0" borderId="0" xfId="64" applyNumberFormat="1" applyFont="1" applyFill="1" applyBorder="1" applyAlignment="1">
      <alignment/>
      <protection/>
    </xf>
    <xf numFmtId="167" fontId="93" fillId="0" borderId="0" xfId="64" applyNumberFormat="1" applyFont="1">
      <alignment/>
      <protection/>
    </xf>
    <xf numFmtId="5" fontId="12" fillId="0" borderId="0" xfId="64" applyNumberFormat="1" applyFont="1" applyFill="1" applyAlignment="1">
      <alignment/>
      <protection/>
    </xf>
    <xf numFmtId="37" fontId="0" fillId="0" borderId="0" xfId="64" applyNumberFormat="1" applyFill="1" applyAlignment="1">
      <alignment horizontal="center"/>
      <protection/>
    </xf>
    <xf numFmtId="37" fontId="17" fillId="0" borderId="0" xfId="64" applyNumberFormat="1" applyFont="1" applyFill="1" applyBorder="1" applyAlignment="1">
      <alignment horizontal="center" wrapText="1"/>
      <protection/>
    </xf>
    <xf numFmtId="37" fontId="12" fillId="0" borderId="0" xfId="64" applyNumberFormat="1" applyFont="1" applyFill="1" applyBorder="1" applyAlignment="1">
      <alignment horizontal="center"/>
      <protection/>
    </xf>
    <xf numFmtId="37" fontId="12" fillId="0" borderId="0" xfId="64" applyNumberFormat="1" applyFont="1" applyFill="1" applyBorder="1" applyAlignment="1">
      <alignment horizontal="right" indent="1"/>
      <protection/>
    </xf>
    <xf numFmtId="37" fontId="9" fillId="0" borderId="0" xfId="64" applyNumberFormat="1" applyFont="1" applyFill="1" applyAlignment="1">
      <alignment horizontal="center"/>
      <protection/>
    </xf>
    <xf numFmtId="37" fontId="27" fillId="0" borderId="0" xfId="64" applyNumberFormat="1" applyFont="1" applyFill="1" applyBorder="1" applyAlignment="1" quotePrefix="1">
      <alignment horizontal="center" wrapText="1"/>
      <protection/>
    </xf>
    <xf numFmtId="37" fontId="16" fillId="0" borderId="0" xfId="64" applyNumberFormat="1" applyFont="1" applyFill="1" applyBorder="1" applyAlignment="1">
      <alignment horizontal="center" wrapText="1"/>
      <protection/>
    </xf>
    <xf numFmtId="37" fontId="9" fillId="0" borderId="0" xfId="64" applyNumberFormat="1" applyFont="1" applyFill="1" applyBorder="1" applyAlignment="1">
      <alignment horizontal="center"/>
      <protection/>
    </xf>
    <xf numFmtId="37" fontId="9" fillId="0" borderId="0" xfId="64" applyNumberFormat="1" applyFont="1" applyFill="1" applyBorder="1" applyAlignment="1">
      <alignment horizontal="left"/>
      <protection/>
    </xf>
    <xf numFmtId="37" fontId="9" fillId="0" borderId="0" xfId="64" applyNumberFormat="1" applyFont="1" applyFill="1" applyAlignment="1">
      <alignment horizontal="left"/>
      <protection/>
    </xf>
    <xf numFmtId="37" fontId="9" fillId="0" borderId="0" xfId="64" applyNumberFormat="1" applyFont="1" applyFill="1" applyAlignment="1">
      <alignment horizontal="center" wrapText="1"/>
      <protection/>
    </xf>
    <xf numFmtId="37" fontId="28" fillId="0" borderId="0" xfId="64" applyNumberFormat="1" applyFont="1" applyFill="1" applyBorder="1" applyAlignment="1">
      <alignment horizontal="center" wrapText="1"/>
      <protection/>
    </xf>
    <xf numFmtId="37" fontId="29" fillId="0" borderId="0" xfId="64" applyNumberFormat="1" applyFont="1" applyFill="1" applyBorder="1" applyAlignment="1">
      <alignment horizontal="center" wrapText="1"/>
      <protection/>
    </xf>
    <xf numFmtId="37" fontId="30" fillId="0" borderId="0" xfId="64" applyNumberFormat="1" applyFont="1" applyFill="1" applyBorder="1" applyAlignment="1">
      <alignment horizontal="left"/>
      <protection/>
    </xf>
    <xf numFmtId="37" fontId="9" fillId="0" borderId="0" xfId="64" applyNumberFormat="1" applyFont="1" applyFill="1" applyBorder="1" applyAlignment="1">
      <alignment horizontal="left" wrapText="1"/>
      <protection/>
    </xf>
    <xf numFmtId="37" fontId="28" fillId="0" borderId="0" xfId="64" applyNumberFormat="1" applyFont="1" applyFill="1">
      <alignment/>
      <protection/>
    </xf>
    <xf numFmtId="37" fontId="31" fillId="0" borderId="0" xfId="64" applyNumberFormat="1" applyFont="1" applyFill="1">
      <alignment/>
      <protection/>
    </xf>
    <xf numFmtId="37" fontId="28" fillId="0" borderId="0" xfId="64" applyNumberFormat="1" applyFont="1" applyFill="1" applyAlignment="1">
      <alignment horizontal="left"/>
      <protection/>
    </xf>
    <xf numFmtId="37" fontId="5" fillId="0" borderId="0" xfId="64" applyNumberFormat="1" applyFont="1" applyFill="1" applyAlignment="1">
      <alignment horizontal="center" vertical="center"/>
      <protection/>
    </xf>
    <xf numFmtId="37" fontId="5" fillId="0" borderId="0" xfId="64" applyNumberFormat="1" applyFont="1" applyFill="1" applyBorder="1" applyAlignment="1">
      <alignment horizontal="center" vertical="center"/>
      <protection/>
    </xf>
    <xf numFmtId="37" fontId="5" fillId="0" borderId="0" xfId="64" applyNumberFormat="1" applyFont="1" applyFill="1" applyBorder="1" applyAlignment="1">
      <alignment horizontal="left"/>
      <protection/>
    </xf>
    <xf numFmtId="37" fontId="96" fillId="0" borderId="0" xfId="64" applyNumberFormat="1" applyFont="1" applyFill="1" applyBorder="1">
      <alignment/>
      <protection/>
    </xf>
    <xf numFmtId="37" fontId="96" fillId="0" borderId="0" xfId="64" applyNumberFormat="1" applyFont="1" applyFill="1">
      <alignment/>
      <protection/>
    </xf>
    <xf numFmtId="37" fontId="32" fillId="0" borderId="0" xfId="64" applyNumberFormat="1" applyFont="1" applyFill="1" applyBorder="1" applyAlignment="1">
      <alignment horizontal="left"/>
      <protection/>
    </xf>
    <xf numFmtId="37" fontId="11" fillId="0" borderId="0" xfId="0" applyNumberFormat="1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65" fontId="0" fillId="0" borderId="0" xfId="73" applyNumberFormat="1" applyFont="1" applyFill="1" applyAlignment="1">
      <alignment/>
    </xf>
    <xf numFmtId="37" fontId="97" fillId="0" borderId="0" xfId="0" applyNumberFormat="1" applyFont="1" applyFill="1" applyBorder="1" applyAlignment="1">
      <alignment horizontal="center" wrapText="1"/>
    </xf>
    <xf numFmtId="37" fontId="32" fillId="0" borderId="0" xfId="64" applyNumberFormat="1" applyFont="1" applyFill="1">
      <alignment/>
      <protection/>
    </xf>
    <xf numFmtId="37" fontId="24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37" fontId="5" fillId="0" borderId="0" xfId="64" applyNumberFormat="1" applyFont="1" applyFill="1" applyBorder="1">
      <alignment/>
      <protection/>
    </xf>
    <xf numFmtId="37" fontId="0" fillId="0" borderId="0" xfId="64" applyNumberFormat="1" applyFont="1" applyFill="1">
      <alignment/>
      <protection/>
    </xf>
    <xf numFmtId="37" fontId="0" fillId="0" borderId="0" xfId="64" applyNumberFormat="1" applyFont="1" applyFill="1" applyBorder="1">
      <alignment/>
      <protection/>
    </xf>
    <xf numFmtId="37" fontId="3" fillId="0" borderId="0" xfId="64" applyNumberFormat="1" applyFont="1" applyFill="1" applyBorder="1">
      <alignment/>
      <protection/>
    </xf>
    <xf numFmtId="37" fontId="28" fillId="0" borderId="0" xfId="64" applyNumberFormat="1" applyFont="1" applyFill="1" applyBorder="1" applyAlignment="1">
      <alignment horizontal="center"/>
      <protection/>
    </xf>
    <xf numFmtId="37" fontId="3" fillId="0" borderId="0" xfId="64" applyNumberFormat="1" applyFont="1" applyFill="1">
      <alignment/>
      <protection/>
    </xf>
    <xf numFmtId="37" fontId="3" fillId="0" borderId="0" xfId="64" applyNumberFormat="1" applyFont="1" applyFill="1" applyAlignment="1">
      <alignment horizontal="center"/>
      <protection/>
    </xf>
    <xf numFmtId="0" fontId="11" fillId="0" borderId="0" xfId="64" applyFont="1" applyBorder="1">
      <alignment/>
      <protection/>
    </xf>
    <xf numFmtId="0" fontId="11" fillId="0" borderId="0" xfId="64" applyFont="1" applyBorder="1" applyAlignment="1">
      <alignment horizontal="center"/>
      <protection/>
    </xf>
    <xf numFmtId="0" fontId="0" fillId="0" borderId="0" xfId="64" applyFont="1" applyBorder="1" applyAlignment="1">
      <alignment horizontal="center" vertical="center" wrapText="1"/>
      <protection/>
    </xf>
    <xf numFmtId="37" fontId="0" fillId="0" borderId="0" xfId="64" applyNumberFormat="1" applyFont="1" applyFill="1" applyBorder="1" applyAlignment="1" quotePrefix="1">
      <alignment horizontal="center" wrapText="1"/>
      <protection/>
    </xf>
    <xf numFmtId="0" fontId="0" fillId="0" borderId="0" xfId="64" applyFont="1" applyBorder="1" applyAlignment="1">
      <alignment horizontal="center" wrapText="1"/>
      <protection/>
    </xf>
    <xf numFmtId="0" fontId="0" fillId="33" borderId="0" xfId="64" applyFont="1" applyFill="1" applyBorder="1" applyAlignment="1">
      <alignment horizontal="center" wrapText="1"/>
      <protection/>
    </xf>
    <xf numFmtId="37" fontId="0" fillId="0" borderId="0" xfId="64" applyNumberFormat="1" applyFont="1" applyFill="1" applyAlignment="1">
      <alignment horizont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49" fontId="4" fillId="0" borderId="0" xfId="64" applyNumberFormat="1" applyFont="1" applyBorder="1" applyAlignment="1">
      <alignment horizontal="center" wrapText="1"/>
      <protection/>
    </xf>
    <xf numFmtId="49" fontId="26" fillId="0" borderId="0" xfId="64" applyNumberFormat="1" applyFont="1" applyBorder="1" applyAlignment="1">
      <alignment horizontal="center" wrapText="1"/>
      <protection/>
    </xf>
    <xf numFmtId="49" fontId="4" fillId="33" borderId="0" xfId="64" applyNumberFormat="1" applyFont="1" applyFill="1" applyBorder="1" applyAlignment="1">
      <alignment horizontal="center" wrapText="1"/>
      <protection/>
    </xf>
    <xf numFmtId="49" fontId="4" fillId="0" borderId="0" xfId="64" applyNumberFormat="1" applyFont="1" applyFill="1" applyBorder="1" applyAlignment="1">
      <alignment horizontal="center" wrapText="1"/>
      <protection/>
    </xf>
    <xf numFmtId="37" fontId="4" fillId="0" borderId="0" xfId="64" applyNumberFormat="1" applyFont="1" applyFill="1" applyAlignment="1">
      <alignment horizontal="center" wrapText="1"/>
      <protection/>
    </xf>
    <xf numFmtId="49" fontId="10" fillId="0" borderId="0" xfId="64" applyNumberFormat="1" applyFont="1" applyBorder="1" applyAlignment="1">
      <alignment horizontal="center" wrapText="1"/>
      <protection/>
    </xf>
    <xf numFmtId="5" fontId="12" fillId="0" borderId="0" xfId="64" applyNumberFormat="1" applyFont="1" applyFill="1" applyBorder="1">
      <alignment/>
      <protection/>
    </xf>
    <xf numFmtId="5" fontId="12" fillId="33" borderId="0" xfId="64" applyNumberFormat="1" applyFont="1" applyFill="1">
      <alignment/>
      <protection/>
    </xf>
    <xf numFmtId="5" fontId="12" fillId="33" borderId="0" xfId="64" applyNumberFormat="1" applyFont="1" applyFill="1" applyBorder="1" applyAlignment="1">
      <alignment/>
      <protection/>
    </xf>
    <xf numFmtId="0" fontId="12" fillId="0" borderId="0" xfId="64" applyFont="1" applyBorder="1" applyAlignment="1">
      <alignment/>
      <protection/>
    </xf>
    <xf numFmtId="37" fontId="0" fillId="0" borderId="0" xfId="64" applyNumberFormat="1" applyFont="1" applyFill="1" applyAlignment="1">
      <alignment/>
      <protection/>
    </xf>
    <xf numFmtId="37" fontId="12" fillId="0" borderId="0" xfId="64" applyNumberFormat="1" applyFont="1" applyFill="1" applyBorder="1">
      <alignment/>
      <protection/>
    </xf>
    <xf numFmtId="175" fontId="12" fillId="0" borderId="0" xfId="48" applyNumberFormat="1" applyFont="1" applyBorder="1" applyAlignment="1">
      <alignment/>
    </xf>
    <xf numFmtId="37" fontId="12" fillId="33" borderId="0" xfId="64" applyNumberFormat="1" applyFont="1" applyFill="1">
      <alignment/>
      <protection/>
    </xf>
    <xf numFmtId="37" fontId="12" fillId="33" borderId="0" xfId="64" applyNumberFormat="1" applyFont="1" applyFill="1" applyBorder="1" applyAlignment="1">
      <alignment/>
      <protection/>
    </xf>
    <xf numFmtId="37" fontId="34" fillId="0" borderId="0" xfId="64" applyNumberFormat="1" applyFont="1" applyFill="1" applyBorder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12" fillId="33" borderId="0" xfId="64" applyFont="1" applyFill="1" applyBorder="1" applyAlignment="1">
      <alignment/>
      <protection/>
    </xf>
    <xf numFmtId="5" fontId="12" fillId="0" borderId="11" xfId="64" applyNumberFormat="1" applyFont="1" applyFill="1" applyBorder="1">
      <alignment/>
      <protection/>
    </xf>
    <xf numFmtId="5" fontId="12" fillId="33" borderId="11" xfId="64" applyNumberFormat="1" applyFont="1" applyFill="1" applyBorder="1" applyAlignment="1">
      <alignment/>
      <protection/>
    </xf>
    <xf numFmtId="37" fontId="93" fillId="0" borderId="0" xfId="64" applyNumberFormat="1" applyFont="1" applyFill="1" applyBorder="1">
      <alignment/>
      <protection/>
    </xf>
    <xf numFmtId="5" fontId="12" fillId="0" borderId="12" xfId="64" applyNumberFormat="1" applyFont="1" applyFill="1" applyBorder="1">
      <alignment/>
      <protection/>
    </xf>
    <xf numFmtId="5" fontId="12" fillId="33" borderId="12" xfId="64" applyNumberFormat="1" applyFont="1" applyFill="1" applyBorder="1" applyAlignme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>
      <alignment/>
      <protection/>
    </xf>
    <xf numFmtId="5" fontId="12" fillId="0" borderId="0" xfId="64" applyNumberFormat="1" applyFont="1" applyAlignment="1">
      <alignment/>
      <protection/>
    </xf>
    <xf numFmtId="0" fontId="12" fillId="0" borderId="0" xfId="64" applyFont="1" applyFill="1" applyAlignment="1">
      <alignment/>
      <protection/>
    </xf>
    <xf numFmtId="37" fontId="15" fillId="0" borderId="0" xfId="64" applyNumberFormat="1" applyFont="1" applyFill="1">
      <alignment/>
      <protection/>
    </xf>
    <xf numFmtId="37" fontId="15" fillId="0" borderId="0" xfId="64" applyNumberFormat="1" applyFont="1" applyFill="1" applyBorder="1" applyAlignment="1">
      <alignment vertical="top"/>
      <protection/>
    </xf>
    <xf numFmtId="0" fontId="12" fillId="0" borderId="0" xfId="64" applyFont="1" applyAlignment="1">
      <alignment vertical="top"/>
      <protection/>
    </xf>
    <xf numFmtId="37" fontId="24" fillId="0" borderId="0" xfId="64" applyNumberFormat="1" applyFont="1" applyFill="1" applyAlignment="1">
      <alignment/>
      <protection/>
    </xf>
    <xf numFmtId="0" fontId="14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37" fontId="11" fillId="0" borderId="0" xfId="64" applyNumberFormat="1" applyFont="1" applyFill="1" applyBorder="1" applyAlignment="1">
      <alignment horizontal="center"/>
      <protection/>
    </xf>
    <xf numFmtId="0" fontId="0" fillId="0" borderId="19" xfId="64" applyFont="1" applyFill="1" applyBorder="1">
      <alignment/>
      <protection/>
    </xf>
    <xf numFmtId="0" fontId="0" fillId="0" borderId="20" xfId="64" applyFont="1" applyFill="1" applyBorder="1">
      <alignment/>
      <protection/>
    </xf>
    <xf numFmtId="0" fontId="0" fillId="0" borderId="20" xfId="64" applyFont="1" applyFill="1" applyBorder="1" applyAlignment="1" quotePrefix="1">
      <alignment horizontal="centerContinuous"/>
      <protection/>
    </xf>
    <xf numFmtId="0" fontId="0" fillId="0" borderId="0" xfId="64" applyFont="1" applyFill="1" applyBorder="1" applyAlignment="1">
      <alignment/>
      <protection/>
    </xf>
    <xf numFmtId="0" fontId="0" fillId="0" borderId="21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/>
      <protection/>
    </xf>
    <xf numFmtId="0" fontId="12" fillId="0" borderId="0" xfId="64" applyFont="1" applyFill="1" applyBorder="1">
      <alignment/>
      <protection/>
    </xf>
    <xf numFmtId="0" fontId="12" fillId="0" borderId="22" xfId="64" applyFont="1" applyFill="1" applyBorder="1" applyAlignment="1">
      <alignment horizontal="center"/>
      <protection/>
    </xf>
    <xf numFmtId="0" fontId="12" fillId="0" borderId="22" xfId="64" applyFont="1" applyFill="1" applyBorder="1">
      <alignment/>
      <protection/>
    </xf>
    <xf numFmtId="0" fontId="12" fillId="0" borderId="23" xfId="64" applyFont="1" applyFill="1" applyBorder="1" applyAlignment="1">
      <alignment horizontal="center"/>
      <protection/>
    </xf>
    <xf numFmtId="0" fontId="12" fillId="0" borderId="0" xfId="64" applyFont="1" applyFill="1" applyBorder="1" applyAlignment="1">
      <alignment horizontal="center"/>
      <protection/>
    </xf>
    <xf numFmtId="0" fontId="12" fillId="0" borderId="22" xfId="64" applyFont="1" applyFill="1" applyBorder="1" applyAlignment="1" quotePrefix="1">
      <alignment horizontal="center"/>
      <protection/>
    </xf>
    <xf numFmtId="5" fontId="12" fillId="0" borderId="22" xfId="64" applyNumberFormat="1" applyFont="1" applyFill="1" applyBorder="1">
      <alignment/>
      <protection/>
    </xf>
    <xf numFmtId="171" fontId="12" fillId="0" borderId="0" xfId="64" applyNumberFormat="1" applyFont="1" applyFill="1" applyBorder="1" applyAlignment="1">
      <alignment horizontal="center"/>
      <protection/>
    </xf>
    <xf numFmtId="167" fontId="93" fillId="0" borderId="22" xfId="68" applyNumberFormat="1" applyFont="1" applyBorder="1">
      <alignment/>
      <protection/>
    </xf>
    <xf numFmtId="171" fontId="12" fillId="0" borderId="23" xfId="64" applyNumberFormat="1" applyFont="1" applyFill="1" applyBorder="1" applyAlignment="1">
      <alignment horizontal="center"/>
      <protection/>
    </xf>
    <xf numFmtId="167" fontId="93" fillId="34" borderId="22" xfId="69" applyNumberFormat="1" applyFont="1" applyFill="1" applyBorder="1">
      <alignment/>
      <protection/>
    </xf>
    <xf numFmtId="172" fontId="12" fillId="0" borderId="23" xfId="64" applyNumberFormat="1" applyFont="1" applyFill="1" applyBorder="1" applyAlignment="1">
      <alignment horizontal="center"/>
      <protection/>
    </xf>
    <xf numFmtId="37" fontId="12" fillId="0" borderId="22" xfId="64" applyNumberFormat="1" applyFont="1" applyFill="1" applyBorder="1">
      <alignment/>
      <protection/>
    </xf>
    <xf numFmtId="37" fontId="93" fillId="0" borderId="22" xfId="68" applyNumberFormat="1" applyFont="1" applyBorder="1">
      <alignment/>
      <protection/>
    </xf>
    <xf numFmtId="37" fontId="93" fillId="34" borderId="22" xfId="69" applyNumberFormat="1" applyFont="1" applyFill="1" applyBorder="1">
      <alignment/>
      <protection/>
    </xf>
    <xf numFmtId="37" fontId="93" fillId="34" borderId="22" xfId="68" applyNumberFormat="1" applyFont="1" applyFill="1" applyBorder="1">
      <alignment/>
      <protection/>
    </xf>
    <xf numFmtId="3" fontId="12" fillId="0" borderId="0" xfId="64" applyNumberFormat="1" applyFont="1" applyFill="1" applyBorder="1">
      <alignment/>
      <protection/>
    </xf>
    <xf numFmtId="166" fontId="12" fillId="0" borderId="0" xfId="64" applyNumberFormat="1" applyFont="1" applyFill="1" applyBorder="1">
      <alignment/>
      <protection/>
    </xf>
    <xf numFmtId="3" fontId="12" fillId="0" borderId="23" xfId="64" applyNumberFormat="1" applyFont="1" applyFill="1" applyBorder="1" applyAlignment="1">
      <alignment horizontal="center"/>
      <protection/>
    </xf>
    <xf numFmtId="0" fontId="12" fillId="0" borderId="24" xfId="64" applyFont="1" applyFill="1" applyBorder="1" applyAlignment="1">
      <alignment horizontal="center"/>
      <protection/>
    </xf>
    <xf numFmtId="0" fontId="12" fillId="0" borderId="15" xfId="64" applyFont="1" applyFill="1" applyBorder="1">
      <alignment/>
      <protection/>
    </xf>
    <xf numFmtId="167" fontId="12" fillId="0" borderId="15" xfId="64" applyNumberFormat="1" applyFont="1" applyFill="1" applyBorder="1">
      <alignment/>
      <protection/>
    </xf>
    <xf numFmtId="10" fontId="12" fillId="0" borderId="15" xfId="64" applyNumberFormat="1" applyFont="1" applyFill="1" applyBorder="1" applyAlignment="1">
      <alignment horizontal="center"/>
      <protection/>
    </xf>
    <xf numFmtId="167" fontId="12" fillId="0" borderId="24" xfId="64" applyNumberFormat="1" applyFont="1" applyFill="1" applyBorder="1">
      <alignment/>
      <protection/>
    </xf>
    <xf numFmtId="10" fontId="12" fillId="0" borderId="25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center"/>
      <protection/>
    </xf>
    <xf numFmtId="5" fontId="0" fillId="0" borderId="0" xfId="64" applyNumberFormat="1" applyFont="1" applyFill="1" applyBorder="1">
      <alignment/>
      <protection/>
    </xf>
    <xf numFmtId="167" fontId="0" fillId="0" borderId="0" xfId="64" applyNumberFormat="1" applyFont="1" applyFill="1" applyBorder="1">
      <alignment/>
      <protection/>
    </xf>
    <xf numFmtId="0" fontId="14" fillId="0" borderId="0" xfId="67" applyFont="1">
      <alignment/>
      <protection/>
    </xf>
    <xf numFmtId="0" fontId="6" fillId="0" borderId="0" xfId="67" applyFont="1">
      <alignment/>
      <protection/>
    </xf>
    <xf numFmtId="0" fontId="6" fillId="0" borderId="0" xfId="67" applyFont="1" applyBorder="1">
      <alignment/>
      <protection/>
    </xf>
    <xf numFmtId="0" fontId="35" fillId="0" borderId="0" xfId="67" applyFont="1">
      <alignment/>
      <protection/>
    </xf>
    <xf numFmtId="37" fontId="5" fillId="0" borderId="0" xfId="67" applyNumberFormat="1" applyFont="1" applyFill="1" applyBorder="1" applyAlignment="1">
      <alignment horizontal="center" vertical="center"/>
      <protection/>
    </xf>
    <xf numFmtId="37" fontId="94" fillId="0" borderId="0" xfId="67" applyNumberFormat="1" applyFont="1" applyFill="1" applyBorder="1" applyAlignment="1">
      <alignment horizontal="center" vertical="center"/>
      <protection/>
    </xf>
    <xf numFmtId="37" fontId="5" fillId="0" borderId="0" xfId="67" applyNumberFormat="1" applyFont="1" applyFill="1" applyBorder="1" applyAlignment="1">
      <alignment horizontal="center" wrapText="1"/>
      <protection/>
    </xf>
    <xf numFmtId="197" fontId="5" fillId="0" borderId="0" xfId="67" applyNumberFormat="1" applyFont="1" applyBorder="1" applyAlignment="1">
      <alignment horizontal="center" wrapText="1"/>
      <protection/>
    </xf>
    <xf numFmtId="0" fontId="5" fillId="0" borderId="0" xfId="67" applyFont="1" applyBorder="1" applyAlignment="1">
      <alignment horizontal="center" wrapText="1"/>
      <protection/>
    </xf>
    <xf numFmtId="37" fontId="35" fillId="0" borderId="0" xfId="67" applyNumberFormat="1" applyFont="1" applyFill="1" applyBorder="1" applyAlignment="1">
      <alignment horizontal="center" vertical="center" wrapText="1"/>
      <protection/>
    </xf>
    <xf numFmtId="5" fontId="6" fillId="0" borderId="0" xfId="67" applyNumberFormat="1" applyFont="1" applyFill="1" applyBorder="1">
      <alignment/>
      <protection/>
    </xf>
    <xf numFmtId="5" fontId="6" fillId="0" borderId="0" xfId="64" applyNumberFormat="1" applyFont="1" applyFill="1" applyBorder="1">
      <alignment/>
      <protection/>
    </xf>
    <xf numFmtId="37" fontId="6" fillId="0" borderId="0" xfId="67" applyNumberFormat="1" applyFont="1" applyFill="1" applyBorder="1">
      <alignment/>
      <protection/>
    </xf>
    <xf numFmtId="175" fontId="6" fillId="0" borderId="0" xfId="49" applyNumberFormat="1" applyFont="1" applyBorder="1" applyAlignment="1">
      <alignment/>
    </xf>
    <xf numFmtId="175" fontId="6" fillId="0" borderId="0" xfId="47" applyNumberFormat="1" applyFont="1" applyBorder="1" applyAlignment="1">
      <alignment/>
    </xf>
    <xf numFmtId="175" fontId="6" fillId="0" borderId="15" xfId="49" applyNumberFormat="1" applyFont="1" applyBorder="1" applyAlignment="1">
      <alignment/>
    </xf>
    <xf numFmtId="175" fontId="6" fillId="0" borderId="15" xfId="47" applyNumberFormat="1" applyFont="1" applyBorder="1" applyAlignment="1">
      <alignment/>
    </xf>
    <xf numFmtId="5" fontId="5" fillId="0" borderId="0" xfId="67" applyNumberFormat="1" applyFont="1" applyFill="1" applyBorder="1">
      <alignment/>
      <protection/>
    </xf>
    <xf numFmtId="0" fontId="5" fillId="0" borderId="0" xfId="67" applyFont="1" applyBorder="1">
      <alignment/>
      <protection/>
    </xf>
    <xf numFmtId="3" fontId="98" fillId="0" borderId="22" xfId="64" applyNumberFormat="1" applyFont="1" applyFill="1" applyBorder="1">
      <alignment/>
      <protection/>
    </xf>
    <xf numFmtId="37" fontId="99" fillId="0" borderId="0" xfId="0" applyNumberFormat="1" applyFont="1" applyFill="1" applyAlignment="1">
      <alignment/>
    </xf>
    <xf numFmtId="37" fontId="99" fillId="0" borderId="0" xfId="64" applyNumberFormat="1" applyFont="1" applyFill="1" applyAlignment="1">
      <alignment horizontal="left"/>
      <protection/>
    </xf>
    <xf numFmtId="37" fontId="0" fillId="0" borderId="0" xfId="64" applyNumberFormat="1" applyFont="1" applyFill="1" applyBorder="1" applyAlignment="1">
      <alignment horizontal="center" wrapText="1"/>
      <protection/>
    </xf>
    <xf numFmtId="37" fontId="6" fillId="0" borderId="0" xfId="64" applyNumberFormat="1" applyFont="1" applyFill="1" applyBorder="1" applyAlignment="1">
      <alignment/>
      <protection/>
    </xf>
    <xf numFmtId="37" fontId="0" fillId="0" borderId="0" xfId="64" applyNumberFormat="1" applyFont="1" applyFill="1" applyBorder="1" applyAlignment="1">
      <alignment/>
      <protection/>
    </xf>
    <xf numFmtId="0" fontId="8" fillId="0" borderId="0" xfId="64" applyFont="1" applyFill="1" applyBorder="1" applyAlignment="1">
      <alignment vertical="top"/>
      <protection/>
    </xf>
    <xf numFmtId="37" fontId="100" fillId="0" borderId="0" xfId="0" applyNumberFormat="1" applyFont="1" applyFill="1" applyBorder="1" applyAlignment="1">
      <alignment wrapText="1"/>
    </xf>
    <xf numFmtId="37" fontId="101" fillId="0" borderId="14" xfId="0" applyNumberFormat="1" applyFont="1" applyFill="1" applyBorder="1" applyAlignment="1">
      <alignment horizontal="center" wrapText="1"/>
    </xf>
    <xf numFmtId="0" fontId="22" fillId="0" borderId="0" xfId="64" applyFont="1" applyBorder="1" applyAlignment="1">
      <alignment horizontal="center" wrapText="1"/>
      <protection/>
    </xf>
    <xf numFmtId="37" fontId="3" fillId="0" borderId="0" xfId="0" applyNumberFormat="1" applyFont="1" applyFill="1" applyBorder="1" applyAlignment="1">
      <alignment/>
    </xf>
    <xf numFmtId="0" fontId="0" fillId="0" borderId="0" xfId="64" applyFont="1" applyBorder="1" applyAlignment="1">
      <alignment wrapText="1"/>
      <protection/>
    </xf>
    <xf numFmtId="0" fontId="22" fillId="0" borderId="0" xfId="64" applyFont="1" applyBorder="1" applyAlignment="1">
      <alignment wrapText="1"/>
      <protection/>
    </xf>
    <xf numFmtId="37" fontId="0" fillId="0" borderId="0" xfId="64" applyNumberFormat="1" applyFont="1" applyFill="1" applyAlignment="1">
      <alignment wrapText="1"/>
      <protection/>
    </xf>
    <xf numFmtId="49" fontId="10" fillId="0" borderId="0" xfId="64" applyNumberFormat="1" applyFont="1" applyFill="1" applyBorder="1" applyAlignment="1">
      <alignment horizontal="center" wrapText="1"/>
      <protection/>
    </xf>
    <xf numFmtId="49" fontId="7" fillId="0" borderId="0" xfId="64" applyNumberFormat="1" applyFont="1" applyBorder="1" applyAlignment="1">
      <alignment horizontal="center" wrapText="1"/>
      <protection/>
    </xf>
    <xf numFmtId="0" fontId="15" fillId="0" borderId="0" xfId="64" applyFont="1" applyBorder="1" applyAlignment="1">
      <alignment horizontal="left"/>
      <protection/>
    </xf>
    <xf numFmtId="37" fontId="29" fillId="0" borderId="0" xfId="64" applyNumberFormat="1" applyFont="1" applyFill="1" applyBorder="1" applyAlignment="1">
      <alignment/>
      <protection/>
    </xf>
    <xf numFmtId="37" fontId="25" fillId="0" borderId="0" xfId="64" applyNumberFormat="1" applyFont="1" applyFill="1" applyBorder="1">
      <alignment/>
      <protection/>
    </xf>
    <xf numFmtId="37" fontId="11" fillId="0" borderId="0" xfId="64" applyNumberFormat="1" applyFont="1" applyFill="1" applyBorder="1" applyAlignment="1">
      <alignment horizontal="center" wrapText="1"/>
      <protection/>
    </xf>
    <xf numFmtId="5" fontId="12" fillId="0" borderId="18" xfId="0" applyNumberFormat="1" applyFont="1" applyFill="1" applyBorder="1" applyAlignment="1">
      <alignment horizontal="right" indent="1"/>
    </xf>
    <xf numFmtId="37" fontId="93" fillId="0" borderId="0" xfId="0" applyNumberFormat="1" applyFont="1" applyFill="1" applyBorder="1" applyAlignment="1">
      <alignment/>
    </xf>
    <xf numFmtId="5" fontId="12" fillId="0" borderId="18" xfId="64" applyNumberFormat="1" applyFont="1" applyFill="1" applyBorder="1" applyAlignment="1">
      <alignment horizontal="right" indent="1"/>
      <protection/>
    </xf>
    <xf numFmtId="5" fontId="93" fillId="0" borderId="12" xfId="0" applyNumberFormat="1" applyFont="1" applyFill="1" applyBorder="1" applyAlignment="1">
      <alignment/>
    </xf>
    <xf numFmtId="5" fontId="11" fillId="0" borderId="18" xfId="0" applyNumberFormat="1" applyFont="1" applyFill="1" applyBorder="1" applyAlignment="1">
      <alignment/>
    </xf>
    <xf numFmtId="5" fontId="11" fillId="0" borderId="17" xfId="0" applyNumberFormat="1" applyFont="1" applyFill="1" applyBorder="1" applyAlignment="1">
      <alignment/>
    </xf>
    <xf numFmtId="37" fontId="7" fillId="0" borderId="13" xfId="0" applyNumberFormat="1" applyFont="1" applyFill="1" applyBorder="1" applyAlignment="1">
      <alignment horizontal="center"/>
    </xf>
    <xf numFmtId="37" fontId="0" fillId="0" borderId="13" xfId="0" applyNumberFormat="1" applyFill="1" applyBorder="1" applyAlignment="1">
      <alignment/>
    </xf>
    <xf numFmtId="5" fontId="12" fillId="0" borderId="13" xfId="0" applyNumberFormat="1" applyFont="1" applyFill="1" applyBorder="1" applyAlignment="1">
      <alignment/>
    </xf>
    <xf numFmtId="37" fontId="12" fillId="0" borderId="13" xfId="0" applyNumberFormat="1" applyFont="1" applyFill="1" applyBorder="1" applyAlignment="1">
      <alignment/>
    </xf>
    <xf numFmtId="5" fontId="11" fillId="0" borderId="17" xfId="64" applyNumberFormat="1" applyFont="1" applyFill="1" applyBorder="1" applyAlignment="1">
      <alignment/>
      <protection/>
    </xf>
    <xf numFmtId="5" fontId="11" fillId="0" borderId="18" xfId="64" applyNumberFormat="1" applyFont="1" applyFill="1" applyBorder="1" applyAlignment="1">
      <alignment/>
      <protection/>
    </xf>
    <xf numFmtId="37" fontId="20" fillId="0" borderId="0" xfId="0" applyNumberFormat="1" applyFont="1" applyFill="1" applyAlignment="1" quotePrefix="1">
      <alignment horizontal="right"/>
    </xf>
    <xf numFmtId="37" fontId="7" fillId="0" borderId="0" xfId="0" applyNumberFormat="1" applyFont="1" applyFill="1" applyBorder="1" applyAlignment="1">
      <alignment horizontal="center"/>
    </xf>
    <xf numFmtId="0" fontId="12" fillId="0" borderId="10" xfId="64" applyFont="1" applyFill="1" applyBorder="1" applyAlignment="1">
      <alignment/>
      <protection/>
    </xf>
    <xf numFmtId="0" fontId="12" fillId="0" borderId="10" xfId="64" applyFont="1" applyFill="1" applyBorder="1" applyAlignment="1" quotePrefix="1">
      <alignment horizontal="centerContinuous" wrapText="1"/>
      <protection/>
    </xf>
    <xf numFmtId="0" fontId="12" fillId="0" borderId="26" xfId="64" applyFont="1" applyFill="1" applyBorder="1" applyAlignment="1">
      <alignment horizontal="centerContinuous" wrapText="1"/>
      <protection/>
    </xf>
    <xf numFmtId="0" fontId="12" fillId="0" borderId="27" xfId="64" applyFont="1" applyFill="1" applyBorder="1" applyAlignment="1">
      <alignment horizontal="centerContinuous"/>
      <protection/>
    </xf>
    <xf numFmtId="172" fontId="12" fillId="0" borderId="0" xfId="64" applyNumberFormat="1" applyFont="1" applyFill="1" applyBorder="1" applyAlignment="1">
      <alignment horizontal="center"/>
      <protection/>
    </xf>
    <xf numFmtId="3" fontId="98" fillId="0" borderId="0" xfId="64" applyNumberFormat="1" applyFont="1" applyFill="1" applyBorder="1" applyAlignment="1">
      <alignment horizontal="center"/>
      <protection/>
    </xf>
    <xf numFmtId="0" fontId="45" fillId="0" borderId="0" xfId="64" applyFont="1" applyFill="1" applyBorder="1" applyAlignment="1">
      <alignment horizontal="center"/>
      <protection/>
    </xf>
    <xf numFmtId="5" fontId="11" fillId="0" borderId="0" xfId="64" applyNumberFormat="1" applyFont="1" applyFill="1" applyBorder="1">
      <alignment/>
      <protection/>
    </xf>
    <xf numFmtId="37" fontId="11" fillId="0" borderId="0" xfId="64" applyNumberFormat="1" applyFont="1" applyFill="1" applyBorder="1">
      <alignment/>
      <protection/>
    </xf>
    <xf numFmtId="37" fontId="102" fillId="0" borderId="0" xfId="64" applyNumberFormat="1" applyFont="1" applyFill="1" applyBorder="1">
      <alignment/>
      <protection/>
    </xf>
    <xf numFmtId="0" fontId="0" fillId="0" borderId="23" xfId="64" applyFont="1" applyFill="1" applyBorder="1">
      <alignment/>
      <protection/>
    </xf>
    <xf numFmtId="172" fontId="12" fillId="0" borderId="22" xfId="64" applyNumberFormat="1" applyFont="1" applyFill="1" applyBorder="1" applyAlignment="1">
      <alignment horizontal="center"/>
      <protection/>
    </xf>
    <xf numFmtId="3" fontId="98" fillId="0" borderId="22" xfId="64" applyNumberFormat="1" applyFont="1" applyFill="1" applyBorder="1" applyAlignment="1">
      <alignment horizontal="center"/>
      <protection/>
    </xf>
    <xf numFmtId="10" fontId="12" fillId="0" borderId="24" xfId="64" applyNumberFormat="1" applyFont="1" applyFill="1" applyBorder="1" applyAlignment="1">
      <alignment horizontal="center"/>
      <protection/>
    </xf>
    <xf numFmtId="5" fontId="11" fillId="0" borderId="15" xfId="52" applyNumberFormat="1" applyFont="1" applyFill="1" applyBorder="1" applyAlignment="1">
      <alignment/>
    </xf>
    <xf numFmtId="0" fontId="0" fillId="0" borderId="25" xfId="64" applyFont="1" applyFill="1" applyBorder="1">
      <alignment/>
      <protection/>
    </xf>
    <xf numFmtId="0" fontId="12" fillId="0" borderId="28" xfId="64" applyFont="1" applyFill="1" applyBorder="1" applyAlignment="1" quotePrefix="1">
      <alignment horizontal="centerContinuous" wrapText="1"/>
      <protection/>
    </xf>
    <xf numFmtId="0" fontId="91" fillId="0" borderId="0" xfId="64" applyFont="1" applyFill="1" applyBorder="1" applyAlignment="1">
      <alignment vertical="top" wrapText="1"/>
      <protection/>
    </xf>
    <xf numFmtId="37" fontId="0" fillId="0" borderId="0" xfId="0" applyNumberFormat="1" applyFont="1" applyFill="1" applyAlignment="1">
      <alignment horizontal="left" vertical="top" wrapText="1"/>
    </xf>
    <xf numFmtId="37" fontId="3" fillId="0" borderId="0" xfId="0" applyNumberFormat="1" applyFont="1" applyFill="1" applyBorder="1" applyAlignment="1">
      <alignment horizontal="center" wrapText="1"/>
    </xf>
    <xf numFmtId="37" fontId="12" fillId="0" borderId="0" xfId="64" applyNumberFormat="1" applyFont="1" applyFill="1" applyAlignment="1">
      <alignment horizontal="left" wrapText="1"/>
      <protection/>
    </xf>
    <xf numFmtId="37" fontId="29" fillId="0" borderId="0" xfId="64" applyNumberFormat="1" applyFont="1" applyFill="1" applyBorder="1" applyAlignment="1">
      <alignment horizontal="center"/>
      <protection/>
    </xf>
    <xf numFmtId="37" fontId="3" fillId="0" borderId="29" xfId="0" applyNumberFormat="1" applyFont="1" applyFill="1" applyBorder="1" applyAlignment="1">
      <alignment horizontal="center" vertical="center"/>
    </xf>
    <xf numFmtId="37" fontId="93" fillId="0" borderId="0" xfId="0" applyNumberFormat="1" applyFont="1" applyFill="1" applyAlignment="1">
      <alignment horizontal="left" wrapText="1"/>
    </xf>
    <xf numFmtId="37" fontId="3" fillId="0" borderId="11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horizontal="left" wrapText="1"/>
    </xf>
    <xf numFmtId="37" fontId="0" fillId="0" borderId="0" xfId="0" applyNumberFormat="1" applyFont="1" applyFill="1" applyAlignment="1">
      <alignment horizontal="left" vertical="top" wrapText="1"/>
    </xf>
    <xf numFmtId="37" fontId="16" fillId="0" borderId="0" xfId="64" applyNumberFormat="1" applyFont="1" applyFill="1" applyBorder="1" applyAlignment="1">
      <alignment horizontal="center" wrapText="1"/>
      <protection/>
    </xf>
    <xf numFmtId="37" fontId="29" fillId="0" borderId="15" xfId="64" applyNumberFormat="1" applyFont="1" applyFill="1" applyBorder="1" applyAlignment="1">
      <alignment horizontal="center"/>
      <protection/>
    </xf>
    <xf numFmtId="37" fontId="12" fillId="0" borderId="0" xfId="64" applyNumberFormat="1" applyFont="1" applyFill="1" applyAlignment="1">
      <alignment horizontal="left" wrapText="1"/>
      <protection/>
    </xf>
    <xf numFmtId="37" fontId="29" fillId="0" borderId="0" xfId="64" applyNumberFormat="1" applyFont="1" applyFill="1" applyBorder="1" applyAlignment="1">
      <alignment horizontal="center" wrapText="1"/>
      <protection/>
    </xf>
    <xf numFmtId="37" fontId="5" fillId="0" borderId="0" xfId="64" applyNumberFormat="1" applyFont="1" applyFill="1" applyBorder="1" applyAlignment="1">
      <alignment horizontal="center" wrapText="1"/>
      <protection/>
    </xf>
    <xf numFmtId="37" fontId="5" fillId="0" borderId="10" xfId="64" applyNumberFormat="1" applyFont="1" applyFill="1" applyBorder="1" applyAlignment="1">
      <alignment horizontal="center" wrapText="1"/>
      <protection/>
    </xf>
    <xf numFmtId="0" fontId="11" fillId="0" borderId="15" xfId="64" applyFont="1" applyBorder="1" applyAlignment="1">
      <alignment horizontal="center"/>
      <protection/>
    </xf>
    <xf numFmtId="37" fontId="5" fillId="0" borderId="10" xfId="64" applyNumberFormat="1" applyFont="1" applyFill="1" applyBorder="1" applyAlignment="1">
      <alignment horizontal="center"/>
      <protection/>
    </xf>
    <xf numFmtId="37" fontId="11" fillId="0" borderId="15" xfId="64" applyNumberFormat="1" applyFont="1" applyFill="1" applyBorder="1" applyAlignment="1">
      <alignment horizontal="center"/>
      <protection/>
    </xf>
    <xf numFmtId="0" fontId="91" fillId="0" borderId="0" xfId="64" applyFont="1" applyFill="1" applyBorder="1" applyAlignment="1">
      <alignment horizontal="left" vertical="top" wrapText="1"/>
      <protection/>
    </xf>
    <xf numFmtId="0" fontId="11" fillId="0" borderId="30" xfId="64" applyFont="1" applyFill="1" applyBorder="1" applyAlignment="1" quotePrefix="1">
      <alignment horizontal="center"/>
      <protection/>
    </xf>
    <xf numFmtId="0" fontId="11" fillId="0" borderId="11" xfId="64" applyFont="1" applyFill="1" applyBorder="1" applyAlignment="1" quotePrefix="1">
      <alignment horizontal="center"/>
      <protection/>
    </xf>
    <xf numFmtId="0" fontId="11" fillId="0" borderId="16" xfId="64" applyFont="1" applyFill="1" applyBorder="1" applyAlignment="1" quotePrefix="1">
      <alignment horizontal="center"/>
      <protection/>
    </xf>
    <xf numFmtId="0" fontId="12" fillId="0" borderId="26" xfId="64" applyFont="1" applyFill="1" applyBorder="1" applyAlignment="1">
      <alignment horizontal="center" wrapText="1"/>
      <protection/>
    </xf>
    <xf numFmtId="0" fontId="12" fillId="0" borderId="27" xfId="64" applyFont="1" applyFill="1" applyBorder="1" applyAlignment="1">
      <alignment horizontal="center" wrapText="1"/>
      <protection/>
    </xf>
    <xf numFmtId="0" fontId="12" fillId="0" borderId="10" xfId="64" applyFont="1" applyFill="1" applyBorder="1" applyAlignment="1">
      <alignment horizontal="center" wrapText="1"/>
      <protection/>
    </xf>
    <xf numFmtId="0" fontId="11" fillId="0" borderId="26" xfId="64" applyFont="1" applyFill="1" applyBorder="1" applyAlignment="1">
      <alignment horizontal="center" wrapText="1"/>
      <protection/>
    </xf>
    <xf numFmtId="0" fontId="11" fillId="0" borderId="12" xfId="64" applyFont="1" applyFill="1" applyBorder="1" applyAlignment="1">
      <alignment horizontal="center" wrapText="1"/>
      <protection/>
    </xf>
    <xf numFmtId="0" fontId="11" fillId="0" borderId="27" xfId="64" applyFont="1" applyFill="1" applyBorder="1" applyAlignment="1">
      <alignment horizontal="center" wrapText="1"/>
      <protection/>
    </xf>
    <xf numFmtId="37" fontId="5" fillId="0" borderId="15" xfId="67" applyNumberFormat="1" applyFont="1" applyFill="1" applyBorder="1" applyAlignment="1">
      <alignment horizontal="center" vertical="center"/>
      <protection/>
    </xf>
    <xf numFmtId="0" fontId="6" fillId="0" borderId="0" xfId="67" applyNumberFormat="1" applyFont="1" applyAlignment="1">
      <alignment wrapText="1"/>
      <protection/>
    </xf>
    <xf numFmtId="0" fontId="19" fillId="0" borderId="0" xfId="67" applyAlignment="1">
      <alignment wrapText="1"/>
      <protection/>
    </xf>
    <xf numFmtId="0" fontId="6" fillId="0" borderId="0" xfId="67" applyFont="1" applyAlignment="1">
      <alignment horizontal="left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6" xfId="49"/>
    <cellStyle name="Currency" xfId="50"/>
    <cellStyle name="Currency [0]" xfId="51"/>
    <cellStyle name="Currency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4 2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"/>
    </sheetView>
  </sheetViews>
  <sheetFormatPr defaultColWidth="9.33203125" defaultRowHeight="12.75"/>
  <cols>
    <col min="1" max="1" width="2.33203125" style="1" customWidth="1"/>
    <col min="2" max="2" width="22.33203125" style="1" bestFit="1" customWidth="1"/>
    <col min="3" max="5" width="14.83203125" style="1" customWidth="1"/>
    <col min="6" max="6" width="15" style="1" bestFit="1" customWidth="1"/>
    <col min="7" max="7" width="14.66015625" style="1" customWidth="1"/>
    <col min="8" max="8" width="4.83203125" style="8" customWidth="1"/>
    <col min="9" max="9" width="17.16015625" style="1" customWidth="1"/>
    <col min="10" max="10" width="1.83203125" style="1" customWidth="1"/>
    <col min="11" max="11" width="15.83203125" style="1" bestFit="1" customWidth="1"/>
    <col min="12" max="12" width="1.83203125" style="1" customWidth="1"/>
    <col min="13" max="13" width="15" style="1" bestFit="1" customWidth="1"/>
    <col min="14" max="14" width="4.83203125" style="8" customWidth="1"/>
    <col min="15" max="16" width="15" style="1" bestFit="1" customWidth="1"/>
    <col min="17" max="17" width="13.33203125" style="1" bestFit="1" customWidth="1"/>
    <col min="18" max="18" width="13.66015625" style="1" customWidth="1"/>
    <col min="19" max="19" width="15" style="1" bestFit="1" customWidth="1"/>
    <col min="20" max="20" width="9.33203125" style="1" customWidth="1"/>
    <col min="21" max="22" width="15" style="1" bestFit="1" customWidth="1"/>
    <col min="23" max="23" width="14" style="1" bestFit="1" customWidth="1"/>
    <col min="24" max="16384" width="9.33203125" style="1" customWidth="1"/>
  </cols>
  <sheetData>
    <row r="1" spans="2:18" ht="18" customHeight="1">
      <c r="B1" s="265" t="s">
        <v>161</v>
      </c>
      <c r="R1" s="296" t="s">
        <v>167</v>
      </c>
    </row>
    <row r="2" ht="9" customHeight="1">
      <c r="B2" s="94"/>
    </row>
    <row r="3" spans="2:19" s="55" customFormat="1" ht="18" customHeight="1" thickBot="1">
      <c r="B3" s="54"/>
      <c r="C3" s="3">
        <v>-1</v>
      </c>
      <c r="D3" s="3">
        <v>-2</v>
      </c>
      <c r="E3" s="3">
        <v>-3</v>
      </c>
      <c r="F3" s="3">
        <v>-4</v>
      </c>
      <c r="G3" s="3">
        <v>-5</v>
      </c>
      <c r="H3" s="64"/>
      <c r="I3" s="3">
        <v>-6</v>
      </c>
      <c r="J3" s="3"/>
      <c r="K3" s="3">
        <v>-7</v>
      </c>
      <c r="L3" s="3"/>
      <c r="M3" s="3">
        <v>-8</v>
      </c>
      <c r="N3" s="5"/>
      <c r="O3" s="3">
        <v>-9</v>
      </c>
      <c r="P3" s="3">
        <v>-10</v>
      </c>
      <c r="Q3" s="3">
        <v>-11</v>
      </c>
      <c r="R3" s="3">
        <v>-12</v>
      </c>
      <c r="S3" s="3">
        <v>-13</v>
      </c>
    </row>
    <row r="4" spans="3:19" s="4" customFormat="1" ht="18" customHeight="1">
      <c r="C4" s="320" t="s">
        <v>37</v>
      </c>
      <c r="D4" s="320"/>
      <c r="E4" s="320"/>
      <c r="F4" s="320"/>
      <c r="G4" s="320"/>
      <c r="H4" s="65"/>
      <c r="I4" s="320" t="s">
        <v>38</v>
      </c>
      <c r="J4" s="320"/>
      <c r="K4" s="320"/>
      <c r="L4" s="320"/>
      <c r="M4" s="320"/>
      <c r="N4" s="65"/>
      <c r="O4" s="320" t="s">
        <v>163</v>
      </c>
      <c r="P4" s="320"/>
      <c r="Q4" s="320"/>
      <c r="R4" s="320"/>
      <c r="S4" s="320"/>
    </row>
    <row r="5" spans="3:19" s="4" customFormat="1" ht="12.75">
      <c r="C5" s="5"/>
      <c r="D5" s="5"/>
      <c r="E5" s="5"/>
      <c r="F5" s="5"/>
      <c r="G5" s="5"/>
      <c r="H5" s="65"/>
      <c r="I5" s="49" t="s">
        <v>36</v>
      </c>
      <c r="J5" s="274"/>
      <c r="K5" s="322" t="s">
        <v>113</v>
      </c>
      <c r="L5" s="322"/>
      <c r="M5" s="322"/>
      <c r="N5" s="65"/>
      <c r="O5" s="5"/>
      <c r="P5" s="5"/>
      <c r="Q5" s="5"/>
      <c r="R5" s="5"/>
      <c r="S5" s="5"/>
    </row>
    <row r="6" spans="2:19" s="16" customFormat="1" ht="57" customHeight="1" thickBot="1">
      <c r="B6" s="14"/>
      <c r="C6" s="48" t="s">
        <v>49</v>
      </c>
      <c r="D6" s="14" t="s">
        <v>30</v>
      </c>
      <c r="E6" s="48" t="s">
        <v>117</v>
      </c>
      <c r="F6" s="15" t="s">
        <v>32</v>
      </c>
      <c r="G6" s="14" t="s">
        <v>28</v>
      </c>
      <c r="H6" s="40"/>
      <c r="I6" s="48" t="s">
        <v>115</v>
      </c>
      <c r="J6" s="48"/>
      <c r="K6" s="48" t="s">
        <v>118</v>
      </c>
      <c r="L6" s="48"/>
      <c r="M6" s="48" t="s">
        <v>119</v>
      </c>
      <c r="N6" s="40"/>
      <c r="O6" s="48" t="s">
        <v>51</v>
      </c>
      <c r="P6" s="14" t="s">
        <v>31</v>
      </c>
      <c r="Q6" s="48" t="s">
        <v>117</v>
      </c>
      <c r="R6" s="14" t="s">
        <v>33</v>
      </c>
      <c r="S6" s="14" t="s">
        <v>39</v>
      </c>
    </row>
    <row r="7" spans="2:19" s="6" customFormat="1" ht="33.75">
      <c r="B7" s="17"/>
      <c r="C7" s="17"/>
      <c r="D7" s="17"/>
      <c r="E7" s="17"/>
      <c r="F7" s="17"/>
      <c r="G7" s="18" t="s">
        <v>52</v>
      </c>
      <c r="H7" s="17"/>
      <c r="I7" s="19" t="s">
        <v>152</v>
      </c>
      <c r="J7" s="19"/>
      <c r="K7" s="19" t="s">
        <v>134</v>
      </c>
      <c r="L7" s="19"/>
      <c r="M7" s="19" t="s">
        <v>114</v>
      </c>
      <c r="N7" s="17"/>
      <c r="O7" s="20" t="s">
        <v>64</v>
      </c>
      <c r="P7" s="21" t="s">
        <v>120</v>
      </c>
      <c r="Q7" s="21" t="s">
        <v>66</v>
      </c>
      <c r="R7" s="74" t="s">
        <v>121</v>
      </c>
      <c r="S7" s="18" t="s">
        <v>122</v>
      </c>
    </row>
    <row r="8" ht="9" customHeight="1">
      <c r="K8" s="100"/>
    </row>
    <row r="9" spans="2:21" s="7" customFormat="1" ht="12.75">
      <c r="B9" s="9" t="s">
        <v>0</v>
      </c>
      <c r="C9" s="31">
        <v>61239052</v>
      </c>
      <c r="D9" s="88">
        <v>22754000</v>
      </c>
      <c r="E9" s="88">
        <v>635000</v>
      </c>
      <c r="F9" s="10">
        <v>2283000</v>
      </c>
      <c r="G9" s="7">
        <f>SUM(C9:F9)</f>
        <v>86911052</v>
      </c>
      <c r="H9" s="9"/>
      <c r="I9" s="7">
        <f>'(B) Feb SBX3_1 Base Bud Adj-rev'!W8+'(C) July Revise Base Bud Adj '!I8+'(C) July Revise Base Bud Adj '!S8</f>
        <v>-11379230</v>
      </c>
      <c r="K9" s="7">
        <f>'(E) SUF and Non-Res Revenue Adj'!Z8</f>
        <v>7113000</v>
      </c>
      <c r="M9" s="7">
        <f>'(E) SUF and Non-Res Revenue Adj'!AB8</f>
        <v>70000</v>
      </c>
      <c r="N9" s="9"/>
      <c r="O9" s="7">
        <f>C9+I9</f>
        <v>49859822</v>
      </c>
      <c r="P9" s="7">
        <f aca="true" t="shared" si="0" ref="P9:P31">D9+K9</f>
        <v>29867000</v>
      </c>
      <c r="Q9" s="7">
        <f>E9+M9</f>
        <v>705000</v>
      </c>
      <c r="R9" s="7">
        <f>F9</f>
        <v>2283000</v>
      </c>
      <c r="S9" s="7">
        <f>SUM(O9:R9)</f>
        <v>82714822</v>
      </c>
      <c r="U9" s="1"/>
    </row>
    <row r="10" spans="2:19" ht="12.75">
      <c r="B10" s="8" t="s">
        <v>1</v>
      </c>
      <c r="C10" s="30">
        <v>43032603</v>
      </c>
      <c r="D10" s="87">
        <v>9796000</v>
      </c>
      <c r="E10" s="87">
        <v>0</v>
      </c>
      <c r="F10" s="11">
        <v>1143000</v>
      </c>
      <c r="G10" s="1">
        <f>SUM(C10:F10)</f>
        <v>53971603</v>
      </c>
      <c r="I10" s="1">
        <f>'(B) Feb SBX3_1 Base Bud Adj-rev'!W9+'(C) July Revise Base Bud Adj '!I9+'(C) July Revise Base Bud Adj '!S9</f>
        <v>-4911750</v>
      </c>
      <c r="K10" s="1">
        <f>'(E) SUF and Non-Res Revenue Adj'!Z9</f>
        <v>2754000</v>
      </c>
      <c r="M10" s="1">
        <f>'(E) SUF and Non-Res Revenue Adj'!AB9</f>
        <v>6600</v>
      </c>
      <c r="O10" s="1">
        <f>C10+I10</f>
        <v>38120853</v>
      </c>
      <c r="P10" s="1">
        <f t="shared" si="0"/>
        <v>12550000</v>
      </c>
      <c r="Q10" s="1">
        <f>E10+M10</f>
        <v>6600</v>
      </c>
      <c r="R10" s="1">
        <f>F10</f>
        <v>1143000</v>
      </c>
      <c r="S10" s="1">
        <f>SUM(O10:R10)</f>
        <v>51820453</v>
      </c>
    </row>
    <row r="11" spans="2:19" ht="12.75">
      <c r="B11" s="8" t="s">
        <v>2</v>
      </c>
      <c r="C11" s="30">
        <v>119890742</v>
      </c>
      <c r="D11" s="87">
        <v>46662000</v>
      </c>
      <c r="E11" s="87">
        <v>3051000</v>
      </c>
      <c r="F11" s="11">
        <v>4988000</v>
      </c>
      <c r="G11" s="1">
        <f aca="true" t="shared" si="1" ref="G11:G31">SUM(C11:F11)</f>
        <v>174591742</v>
      </c>
      <c r="I11" s="1">
        <f>'(B) Feb SBX3_1 Base Bud Adj-rev'!W10+'(C) July Revise Base Bud Adj '!I10+'(C) July Revise Base Bud Adj '!S10</f>
        <v>-29702640</v>
      </c>
      <c r="K11" s="1">
        <f>'(E) SUF and Non-Res Revenue Adj'!Z10</f>
        <v>13514000</v>
      </c>
      <c r="M11" s="1">
        <f>'(E) SUF and Non-Res Revenue Adj'!AB10</f>
        <v>390000</v>
      </c>
      <c r="O11" s="1">
        <f aca="true" t="shared" si="2" ref="O11:O31">C11+I11</f>
        <v>90188102</v>
      </c>
      <c r="P11" s="1">
        <f t="shared" si="0"/>
        <v>60176000</v>
      </c>
      <c r="Q11" s="1">
        <f>E11+M11</f>
        <v>3441000</v>
      </c>
      <c r="R11" s="1">
        <f aca="true" t="shared" si="3" ref="R11:R31">F11</f>
        <v>4988000</v>
      </c>
      <c r="S11" s="1">
        <f aca="true" t="shared" si="4" ref="S11:S31">SUM(O11:R11)</f>
        <v>158793102</v>
      </c>
    </row>
    <row r="12" spans="2:19" ht="12.75">
      <c r="B12" s="8" t="s">
        <v>3</v>
      </c>
      <c r="C12" s="30">
        <v>71927143</v>
      </c>
      <c r="D12" s="87">
        <v>34570000</v>
      </c>
      <c r="E12" s="87">
        <v>675000</v>
      </c>
      <c r="F12" s="11">
        <v>2363000</v>
      </c>
      <c r="G12" s="1">
        <f t="shared" si="1"/>
        <v>109535143</v>
      </c>
      <c r="I12" s="1">
        <f>'(B) Feb SBX3_1 Base Bud Adj-rev'!W11+'(C) July Revise Base Bud Adj '!I11+'(C) July Revise Base Bud Adj '!S11</f>
        <v>-10653861</v>
      </c>
      <c r="K12" s="1">
        <f>'(E) SUF and Non-Res Revenue Adj'!Z11</f>
        <v>10671000</v>
      </c>
      <c r="M12" s="1">
        <f>'(E) SUF and Non-Res Revenue Adj'!AB11</f>
        <v>79300</v>
      </c>
      <c r="O12" s="1">
        <f t="shared" si="2"/>
        <v>61273282</v>
      </c>
      <c r="P12" s="1">
        <f t="shared" si="0"/>
        <v>45241000</v>
      </c>
      <c r="Q12" s="1">
        <f aca="true" t="shared" si="5" ref="Q12:Q31">E12+M12</f>
        <v>754300</v>
      </c>
      <c r="R12" s="1">
        <f t="shared" si="3"/>
        <v>2363000</v>
      </c>
      <c r="S12" s="1">
        <f t="shared" si="4"/>
        <v>109631582</v>
      </c>
    </row>
    <row r="13" spans="2:19" ht="12.75">
      <c r="B13" s="8" t="s">
        <v>29</v>
      </c>
      <c r="C13" s="30">
        <v>89778621</v>
      </c>
      <c r="D13" s="87">
        <v>45066000</v>
      </c>
      <c r="E13" s="87">
        <v>7431000</v>
      </c>
      <c r="F13" s="11">
        <v>4219000</v>
      </c>
      <c r="G13" s="1">
        <f t="shared" si="1"/>
        <v>146494621</v>
      </c>
      <c r="I13" s="1">
        <f>'(B) Feb SBX3_1 Base Bud Adj-rev'!W12+'(C) July Revise Base Bud Adj '!I12+'(C) July Revise Base Bud Adj '!S12</f>
        <v>-21921000</v>
      </c>
      <c r="K13" s="1">
        <f>'(E) SUF and Non-Res Revenue Adj'!Z12</f>
        <v>12478000</v>
      </c>
      <c r="M13" s="1">
        <f>'(E) SUF and Non-Res Revenue Adj'!AB12</f>
        <v>663400</v>
      </c>
      <c r="O13" s="1">
        <f t="shared" si="2"/>
        <v>67857621</v>
      </c>
      <c r="P13" s="1">
        <f t="shared" si="0"/>
        <v>57544000</v>
      </c>
      <c r="Q13" s="1">
        <f t="shared" si="5"/>
        <v>8094400</v>
      </c>
      <c r="R13" s="1">
        <f t="shared" si="3"/>
        <v>4219000</v>
      </c>
      <c r="S13" s="1">
        <f t="shared" si="4"/>
        <v>137715021</v>
      </c>
    </row>
    <row r="14" spans="2:19" ht="12.75">
      <c r="B14" s="8" t="s">
        <v>4</v>
      </c>
      <c r="C14" s="30">
        <v>153592512</v>
      </c>
      <c r="D14" s="87">
        <v>63154000</v>
      </c>
      <c r="E14" s="87">
        <v>5598000</v>
      </c>
      <c r="F14" s="11">
        <v>5082000</v>
      </c>
      <c r="G14" s="1">
        <f t="shared" si="1"/>
        <v>227426512</v>
      </c>
      <c r="I14" s="1">
        <f>'(B) Feb SBX3_1 Base Bud Adj-rev'!W13+'(C) July Revise Base Bud Adj '!I13+'(C) July Revise Base Bud Adj '!S13</f>
        <v>-35537110</v>
      </c>
      <c r="K14" s="1">
        <f>'(E) SUF and Non-Res Revenue Adj'!Z13</f>
        <v>19626000</v>
      </c>
      <c r="M14" s="1">
        <f>'(E) SUF and Non-Res Revenue Adj'!AB13</f>
        <v>439100</v>
      </c>
      <c r="O14" s="1">
        <f t="shared" si="2"/>
        <v>118055402</v>
      </c>
      <c r="P14" s="1">
        <f t="shared" si="0"/>
        <v>82780000</v>
      </c>
      <c r="Q14" s="1">
        <f t="shared" si="5"/>
        <v>6037100</v>
      </c>
      <c r="R14" s="1">
        <f t="shared" si="3"/>
        <v>5082000</v>
      </c>
      <c r="S14" s="1">
        <f t="shared" si="4"/>
        <v>211954502</v>
      </c>
    </row>
    <row r="15" spans="2:19" ht="12.75">
      <c r="B15" s="8" t="s">
        <v>5</v>
      </c>
      <c r="C15" s="30">
        <v>179775337</v>
      </c>
      <c r="D15" s="87">
        <v>106834000</v>
      </c>
      <c r="E15" s="87">
        <v>8361000</v>
      </c>
      <c r="F15" s="11">
        <v>12668000</v>
      </c>
      <c r="G15" s="1">
        <f t="shared" si="1"/>
        <v>307638337</v>
      </c>
      <c r="I15" s="1">
        <f>'(B) Feb SBX3_1 Base Bud Adj-rev'!W14+'(C) July Revise Base Bud Adj '!I14+'(C) July Revise Base Bud Adj '!S14</f>
        <v>-43403800</v>
      </c>
      <c r="K15" s="1">
        <f>'(E) SUF and Non-Res Revenue Adj'!Z14</f>
        <v>28818000</v>
      </c>
      <c r="M15" s="1">
        <f>'(E) SUF and Non-Res Revenue Adj'!AB14</f>
        <v>728900</v>
      </c>
      <c r="O15" s="1">
        <f t="shared" si="2"/>
        <v>136371537</v>
      </c>
      <c r="P15" s="1">
        <f t="shared" si="0"/>
        <v>135652000</v>
      </c>
      <c r="Q15" s="1">
        <f t="shared" si="5"/>
        <v>9089900</v>
      </c>
      <c r="R15" s="1">
        <f t="shared" si="3"/>
        <v>12668000</v>
      </c>
      <c r="S15" s="1">
        <f t="shared" si="4"/>
        <v>293781437</v>
      </c>
    </row>
    <row r="16" spans="2:19" ht="12.75">
      <c r="B16" s="8" t="s">
        <v>6</v>
      </c>
      <c r="C16" s="30">
        <v>76210440</v>
      </c>
      <c r="D16" s="87">
        <v>21704000</v>
      </c>
      <c r="E16" s="87">
        <v>1503000</v>
      </c>
      <c r="F16" s="11">
        <v>3533000</v>
      </c>
      <c r="G16" s="1">
        <f t="shared" si="1"/>
        <v>102950440</v>
      </c>
      <c r="I16" s="1">
        <f>'(B) Feb SBX3_1 Base Bud Adj-rev'!W15+'(C) July Revise Base Bud Adj '!I15+'(C) July Revise Base Bud Adj '!S15</f>
        <v>-13774330</v>
      </c>
      <c r="K16" s="1">
        <f>'(E) SUF and Non-Res Revenue Adj'!Z15</f>
        <v>7120000</v>
      </c>
      <c r="M16" s="1">
        <f>'(E) SUF and Non-Res Revenue Adj'!AB15</f>
        <v>147500</v>
      </c>
      <c r="O16" s="1">
        <f t="shared" si="2"/>
        <v>62436110</v>
      </c>
      <c r="P16" s="1">
        <f t="shared" si="0"/>
        <v>28824000</v>
      </c>
      <c r="Q16" s="1">
        <f t="shared" si="5"/>
        <v>1650500</v>
      </c>
      <c r="R16" s="1">
        <f t="shared" si="3"/>
        <v>3533000</v>
      </c>
      <c r="S16" s="1">
        <f t="shared" si="4"/>
        <v>96443610</v>
      </c>
    </row>
    <row r="17" spans="2:19" ht="12.75">
      <c r="B17" s="8" t="s">
        <v>7</v>
      </c>
      <c r="C17" s="30">
        <v>204868758</v>
      </c>
      <c r="D17" s="87">
        <v>110978000</v>
      </c>
      <c r="E17" s="87">
        <v>12252000</v>
      </c>
      <c r="F17" s="11">
        <v>11111000</v>
      </c>
      <c r="G17" s="1">
        <f t="shared" si="1"/>
        <v>339209758</v>
      </c>
      <c r="I17" s="1">
        <f>'(B) Feb SBX3_1 Base Bud Adj-rev'!W16+'(C) July Revise Base Bud Adj '!I16+'(C) July Revise Base Bud Adj '!S16</f>
        <v>-50295480</v>
      </c>
      <c r="K17" s="1">
        <f>'(E) SUF and Non-Res Revenue Adj'!Z16</f>
        <v>30340000</v>
      </c>
      <c r="M17" s="1">
        <f>'(E) SUF and Non-Res Revenue Adj'!AB16</f>
        <v>1053300</v>
      </c>
      <c r="O17" s="1">
        <f t="shared" si="2"/>
        <v>154573278</v>
      </c>
      <c r="P17" s="1">
        <f t="shared" si="0"/>
        <v>141318000</v>
      </c>
      <c r="Q17" s="1">
        <f t="shared" si="5"/>
        <v>13305300</v>
      </c>
      <c r="R17" s="1">
        <f t="shared" si="3"/>
        <v>11111000</v>
      </c>
      <c r="S17" s="1">
        <f t="shared" si="4"/>
        <v>320307578</v>
      </c>
    </row>
    <row r="18" spans="2:19" ht="12.75">
      <c r="B18" s="8" t="s">
        <v>8</v>
      </c>
      <c r="C18" s="30">
        <v>133080149</v>
      </c>
      <c r="D18" s="87">
        <v>65520000</v>
      </c>
      <c r="E18" s="87">
        <v>5163000</v>
      </c>
      <c r="F18" s="11">
        <v>5314000</v>
      </c>
      <c r="G18" s="1">
        <f t="shared" si="1"/>
        <v>209077149</v>
      </c>
      <c r="I18" s="1">
        <f>'(B) Feb SBX3_1 Base Bud Adj-rev'!W17+'(C) July Revise Base Bud Adj '!I17+'(C) July Revise Base Bud Adj '!S17</f>
        <v>-29493070</v>
      </c>
      <c r="K18" s="1">
        <f>'(E) SUF and Non-Res Revenue Adj'!Z17</f>
        <v>19348000</v>
      </c>
      <c r="M18" s="1">
        <f>'(E) SUF and Non-Res Revenue Adj'!AB17</f>
        <v>644200</v>
      </c>
      <c r="O18" s="1">
        <f t="shared" si="2"/>
        <v>103587079</v>
      </c>
      <c r="P18" s="1">
        <f t="shared" si="0"/>
        <v>84868000</v>
      </c>
      <c r="Q18" s="1">
        <f t="shared" si="5"/>
        <v>5807200</v>
      </c>
      <c r="R18" s="1">
        <f t="shared" si="3"/>
        <v>5314000</v>
      </c>
      <c r="S18" s="1">
        <f t="shared" si="4"/>
        <v>199576279</v>
      </c>
    </row>
    <row r="19" spans="2:19" ht="12.75">
      <c r="B19" s="8" t="s">
        <v>9</v>
      </c>
      <c r="C19" s="30">
        <v>19018281</v>
      </c>
      <c r="D19" s="87">
        <v>2234000</v>
      </c>
      <c r="E19" s="87">
        <v>658000</v>
      </c>
      <c r="F19" s="11">
        <v>2625000</v>
      </c>
      <c r="G19" s="1">
        <f t="shared" si="1"/>
        <v>24535281</v>
      </c>
      <c r="I19" s="1">
        <f>'(B) Feb SBX3_1 Base Bud Adj-rev'!W18+'(C) July Revise Base Bud Adj '!I18+'(C) July Revise Base Bud Adj '!S18</f>
        <v>-2546270</v>
      </c>
      <c r="K19" s="1">
        <f>'(E) SUF and Non-Res Revenue Adj'!Z18</f>
        <v>580000</v>
      </c>
      <c r="M19" s="1">
        <f>'(E) SUF and Non-Res Revenue Adj'!AB18</f>
        <v>53600</v>
      </c>
      <c r="O19" s="1">
        <f t="shared" si="2"/>
        <v>16472011</v>
      </c>
      <c r="P19" s="1">
        <f t="shared" si="0"/>
        <v>2814000</v>
      </c>
      <c r="Q19" s="1">
        <f t="shared" si="5"/>
        <v>711600</v>
      </c>
      <c r="R19" s="1">
        <f t="shared" si="3"/>
        <v>2625000</v>
      </c>
      <c r="S19" s="1">
        <f t="shared" si="4"/>
        <v>22622611</v>
      </c>
    </row>
    <row r="20" spans="2:19" ht="12.75">
      <c r="B20" s="8" t="s">
        <v>10</v>
      </c>
      <c r="C20" s="30">
        <v>53009703</v>
      </c>
      <c r="D20" s="87">
        <v>11095000</v>
      </c>
      <c r="E20" s="87">
        <v>416000</v>
      </c>
      <c r="F20" s="11">
        <v>1510000</v>
      </c>
      <c r="G20" s="1">
        <f t="shared" si="1"/>
        <v>66030703</v>
      </c>
      <c r="I20" s="1">
        <f>'(B) Feb SBX3_1 Base Bud Adj-rev'!W19+'(C) July Revise Base Bud Adj '!I19+'(C) July Revise Base Bud Adj '!S19</f>
        <v>-6947900</v>
      </c>
      <c r="K20" s="1">
        <f>'(E) SUF and Non-Res Revenue Adj'!Z19</f>
        <v>3597000</v>
      </c>
      <c r="M20" s="1">
        <f>'(E) SUF and Non-Res Revenue Adj'!AB19</f>
        <v>77500</v>
      </c>
      <c r="O20" s="1">
        <f t="shared" si="2"/>
        <v>46061803</v>
      </c>
      <c r="P20" s="1">
        <f t="shared" si="0"/>
        <v>14692000</v>
      </c>
      <c r="Q20" s="1">
        <f t="shared" si="5"/>
        <v>493500</v>
      </c>
      <c r="R20" s="1">
        <f t="shared" si="3"/>
        <v>1510000</v>
      </c>
      <c r="S20" s="1">
        <f t="shared" si="4"/>
        <v>62757303</v>
      </c>
    </row>
    <row r="21" spans="2:19" ht="12.75">
      <c r="B21" s="8" t="s">
        <v>11</v>
      </c>
      <c r="C21" s="30">
        <v>194191936</v>
      </c>
      <c r="D21" s="87">
        <v>103110000</v>
      </c>
      <c r="E21" s="87">
        <v>12985000</v>
      </c>
      <c r="F21" s="11">
        <v>9541000</v>
      </c>
      <c r="G21" s="1">
        <f t="shared" si="1"/>
        <v>319827936</v>
      </c>
      <c r="I21" s="1">
        <f>'(B) Feb SBX3_1 Base Bud Adj-rev'!W20+'(C) July Revise Base Bud Adj '!I20+'(C) July Revise Base Bud Adj '!S20</f>
        <v>-45473620</v>
      </c>
      <c r="K21" s="1">
        <f>'(E) SUF and Non-Res Revenue Adj'!Z20</f>
        <v>29535000</v>
      </c>
      <c r="M21" s="1">
        <f>'(E) SUF and Non-Res Revenue Adj'!AB20</f>
        <v>1082800</v>
      </c>
      <c r="O21" s="1">
        <f t="shared" si="2"/>
        <v>148718316</v>
      </c>
      <c r="P21" s="1">
        <f t="shared" si="0"/>
        <v>132645000</v>
      </c>
      <c r="Q21" s="1">
        <f t="shared" si="5"/>
        <v>14067800</v>
      </c>
      <c r="R21" s="1">
        <f t="shared" si="3"/>
        <v>9541000</v>
      </c>
      <c r="S21" s="1">
        <f t="shared" si="4"/>
        <v>304972116</v>
      </c>
    </row>
    <row r="22" spans="2:19" ht="12.75">
      <c r="B22" s="8" t="s">
        <v>12</v>
      </c>
      <c r="C22" s="30">
        <v>145896192</v>
      </c>
      <c r="D22" s="87">
        <v>62823000</v>
      </c>
      <c r="E22" s="87">
        <v>6000000</v>
      </c>
      <c r="F22" s="11">
        <v>3929000</v>
      </c>
      <c r="G22" s="1">
        <f t="shared" si="1"/>
        <v>218648192</v>
      </c>
      <c r="I22" s="1">
        <f>'(B) Feb SBX3_1 Base Bud Adj-rev'!W21+'(C) July Revise Base Bud Adj '!I21+'(C) July Revise Base Bud Adj '!S21</f>
        <v>-35795070</v>
      </c>
      <c r="K22" s="1">
        <f>'(E) SUF and Non-Res Revenue Adj'!Z21</f>
        <v>19762000</v>
      </c>
      <c r="M22" s="1">
        <f>'(E) SUF and Non-Res Revenue Adj'!AB21</f>
        <v>621100</v>
      </c>
      <c r="O22" s="1">
        <f t="shared" si="2"/>
        <v>110101122</v>
      </c>
      <c r="P22" s="1">
        <f t="shared" si="0"/>
        <v>82585000</v>
      </c>
      <c r="Q22" s="1">
        <f t="shared" si="5"/>
        <v>6621100</v>
      </c>
      <c r="R22" s="1">
        <f t="shared" si="3"/>
        <v>3929000</v>
      </c>
      <c r="S22" s="1">
        <f t="shared" si="4"/>
        <v>203236222</v>
      </c>
    </row>
    <row r="23" spans="2:19" ht="12.75">
      <c r="B23" s="8" t="s">
        <v>13</v>
      </c>
      <c r="C23" s="30">
        <v>165622497</v>
      </c>
      <c r="D23" s="87">
        <v>78138000</v>
      </c>
      <c r="E23" s="87">
        <v>3300000</v>
      </c>
      <c r="F23" s="11">
        <v>8751000</v>
      </c>
      <c r="G23" s="1">
        <f t="shared" si="1"/>
        <v>255811497</v>
      </c>
      <c r="I23" s="1">
        <f>'(B) Feb SBX3_1 Base Bud Adj-rev'!W22+'(C) July Revise Base Bud Adj '!I22+'(C) July Revise Base Bud Adj '!S22</f>
        <v>-39534680</v>
      </c>
      <c r="K23" s="1">
        <f>'(E) SUF and Non-Res Revenue Adj'!Z22</f>
        <v>24457000</v>
      </c>
      <c r="M23" s="1">
        <f>'(E) SUF and Non-Res Revenue Adj'!AB22</f>
        <v>350800</v>
      </c>
      <c r="O23" s="1">
        <f t="shared" si="2"/>
        <v>126087817</v>
      </c>
      <c r="P23" s="1">
        <f t="shared" si="0"/>
        <v>102595000</v>
      </c>
      <c r="Q23" s="1">
        <f t="shared" si="5"/>
        <v>3650800</v>
      </c>
      <c r="R23" s="1">
        <f t="shared" si="3"/>
        <v>8751000</v>
      </c>
      <c r="S23" s="1">
        <f t="shared" si="4"/>
        <v>241084617</v>
      </c>
    </row>
    <row r="24" spans="2:19" ht="12.75">
      <c r="B24" s="8" t="s">
        <v>14</v>
      </c>
      <c r="C24" s="30">
        <v>106451088</v>
      </c>
      <c r="D24" s="87">
        <v>53000000</v>
      </c>
      <c r="E24" s="87">
        <v>3400000</v>
      </c>
      <c r="F24" s="11">
        <v>5087000</v>
      </c>
      <c r="G24" s="1">
        <f t="shared" si="1"/>
        <v>167938088</v>
      </c>
      <c r="I24" s="1">
        <f>'(B) Feb SBX3_1 Base Bud Adj-rev'!W23+'(C) July Revise Base Bud Adj '!I23+'(C) July Revise Base Bud Adj '!S23</f>
        <v>-23317630</v>
      </c>
      <c r="K24" s="1">
        <f>'(E) SUF and Non-Res Revenue Adj'!Z23</f>
        <v>15458000</v>
      </c>
      <c r="M24" s="1">
        <f>'(E) SUF and Non-Res Revenue Adj'!AB23</f>
        <v>302700</v>
      </c>
      <c r="O24" s="1">
        <f t="shared" si="2"/>
        <v>83133458</v>
      </c>
      <c r="P24" s="1">
        <f t="shared" si="0"/>
        <v>68458000</v>
      </c>
      <c r="Q24" s="1">
        <f t="shared" si="5"/>
        <v>3702700</v>
      </c>
      <c r="R24" s="1">
        <f t="shared" si="3"/>
        <v>5087000</v>
      </c>
      <c r="S24" s="1">
        <f t="shared" si="4"/>
        <v>160381158</v>
      </c>
    </row>
    <row r="25" spans="2:19" ht="12.75">
      <c r="B25" s="8" t="s">
        <v>15</v>
      </c>
      <c r="C25" s="30">
        <v>221267746</v>
      </c>
      <c r="D25" s="87">
        <v>100413000</v>
      </c>
      <c r="E25" s="87">
        <v>13608000</v>
      </c>
      <c r="F25" s="11">
        <v>12651000</v>
      </c>
      <c r="G25" s="1">
        <f t="shared" si="1"/>
        <v>347939746</v>
      </c>
      <c r="I25" s="1">
        <f>'(B) Feb SBX3_1 Base Bud Adj-rev'!W24+'(C) July Revise Base Bud Adj '!I24+'(C) July Revise Base Bud Adj '!S24</f>
        <v>-55160630</v>
      </c>
      <c r="K25" s="1">
        <f>'(E) SUF and Non-Res Revenue Adj'!Z24</f>
        <v>28852000</v>
      </c>
      <c r="M25" s="1">
        <f>'(E) SUF and Non-Res Revenue Adj'!AB24</f>
        <v>1258200</v>
      </c>
      <c r="O25" s="1">
        <f t="shared" si="2"/>
        <v>166107116</v>
      </c>
      <c r="P25" s="1">
        <f t="shared" si="0"/>
        <v>129265000</v>
      </c>
      <c r="Q25" s="1">
        <f t="shared" si="5"/>
        <v>14866200</v>
      </c>
      <c r="R25" s="1">
        <f t="shared" si="3"/>
        <v>12651000</v>
      </c>
      <c r="S25" s="1">
        <f t="shared" si="4"/>
        <v>322889316</v>
      </c>
    </row>
    <row r="26" spans="2:19" ht="12.75">
      <c r="B26" s="8" t="s">
        <v>16</v>
      </c>
      <c r="C26" s="30">
        <v>170761449</v>
      </c>
      <c r="D26" s="87">
        <v>90400000</v>
      </c>
      <c r="E26" s="87">
        <v>15200000</v>
      </c>
      <c r="F26" s="11">
        <v>14452000</v>
      </c>
      <c r="G26" s="1">
        <f t="shared" si="1"/>
        <v>290813449</v>
      </c>
      <c r="I26" s="1">
        <f>'(B) Feb SBX3_1 Base Bud Adj-rev'!W25+'(C) July Revise Base Bud Adj '!I25+'(C) July Revise Base Bud Adj '!S25</f>
        <v>-42085300</v>
      </c>
      <c r="K26" s="1">
        <f>'(E) SUF and Non-Res Revenue Adj'!Z25</f>
        <v>25392000</v>
      </c>
      <c r="M26" s="1">
        <f>'(E) SUF and Non-Res Revenue Adj'!AB25</f>
        <v>1289700</v>
      </c>
      <c r="O26" s="1">
        <f t="shared" si="2"/>
        <v>128676149</v>
      </c>
      <c r="P26" s="1">
        <f t="shared" si="0"/>
        <v>115792000</v>
      </c>
      <c r="Q26" s="1">
        <f t="shared" si="5"/>
        <v>16489700</v>
      </c>
      <c r="R26" s="1">
        <f t="shared" si="3"/>
        <v>14452000</v>
      </c>
      <c r="S26" s="1">
        <f t="shared" si="4"/>
        <v>275409849</v>
      </c>
    </row>
    <row r="27" spans="2:19" ht="12.75">
      <c r="B27" s="8" t="s">
        <v>17</v>
      </c>
      <c r="C27" s="30">
        <v>167277822</v>
      </c>
      <c r="D27" s="87">
        <v>89805000</v>
      </c>
      <c r="E27" s="87">
        <v>12262000</v>
      </c>
      <c r="F27" s="11">
        <v>9188000</v>
      </c>
      <c r="G27" s="1">
        <f t="shared" si="1"/>
        <v>278532822</v>
      </c>
      <c r="I27" s="1">
        <f>'(B) Feb SBX3_1 Base Bud Adj-rev'!W26+'(C) July Revise Base Bud Adj '!I26+'(C) July Revise Base Bud Adj '!S26</f>
        <v>-42166350</v>
      </c>
      <c r="K27" s="1">
        <f>'(E) SUF and Non-Res Revenue Adj'!Z26</f>
        <v>26855000</v>
      </c>
      <c r="M27" s="1">
        <f>'(E) SUF and Non-Res Revenue Adj'!AB26</f>
        <v>1440500</v>
      </c>
      <c r="O27" s="1">
        <f t="shared" si="2"/>
        <v>125111472</v>
      </c>
      <c r="P27" s="1">
        <f t="shared" si="0"/>
        <v>116660000</v>
      </c>
      <c r="Q27" s="1">
        <f t="shared" si="5"/>
        <v>13702500</v>
      </c>
      <c r="R27" s="1">
        <f t="shared" si="3"/>
        <v>9188000</v>
      </c>
      <c r="S27" s="1">
        <f t="shared" si="4"/>
        <v>264661972</v>
      </c>
    </row>
    <row r="28" spans="2:19" ht="12.75">
      <c r="B28" s="8" t="s">
        <v>18</v>
      </c>
      <c r="C28" s="30">
        <v>148796428</v>
      </c>
      <c r="D28" s="87">
        <v>56511000</v>
      </c>
      <c r="E28" s="87">
        <v>5133000</v>
      </c>
      <c r="F28" s="11">
        <v>21520000</v>
      </c>
      <c r="G28" s="1">
        <f t="shared" si="1"/>
        <v>231960428</v>
      </c>
      <c r="I28" s="1">
        <f>'(B) Feb SBX3_1 Base Bud Adj-rev'!W27+'(C) July Revise Base Bud Adj '!I27+'(C) July Revise Base Bud Adj '!S27</f>
        <v>-38507140</v>
      </c>
      <c r="K28" s="1">
        <f>'(E) SUF and Non-Res Revenue Adj'!Z27</f>
        <v>17468000</v>
      </c>
      <c r="M28" s="1">
        <f>'(E) SUF and Non-Res Revenue Adj'!AB27</f>
        <v>570800</v>
      </c>
      <c r="O28" s="1">
        <f t="shared" si="2"/>
        <v>110289288</v>
      </c>
      <c r="P28" s="1">
        <f t="shared" si="0"/>
        <v>73979000</v>
      </c>
      <c r="Q28" s="1">
        <f t="shared" si="5"/>
        <v>5703800</v>
      </c>
      <c r="R28" s="1">
        <f t="shared" si="3"/>
        <v>21520000</v>
      </c>
      <c r="S28" s="1">
        <f t="shared" si="4"/>
        <v>211492088</v>
      </c>
    </row>
    <row r="29" spans="2:19" ht="12.75">
      <c r="B29" s="8" t="s">
        <v>19</v>
      </c>
      <c r="C29" s="30">
        <v>67185822</v>
      </c>
      <c r="D29" s="87">
        <v>25695000</v>
      </c>
      <c r="E29" s="87">
        <v>828000</v>
      </c>
      <c r="F29" s="11">
        <v>3436000</v>
      </c>
      <c r="G29" s="1">
        <f t="shared" si="1"/>
        <v>97144822</v>
      </c>
      <c r="I29" s="1">
        <f>'(B) Feb SBX3_1 Base Bud Adj-rev'!W28+'(C) July Revise Base Bud Adj '!I28+'(C) July Revise Base Bud Adj '!S28</f>
        <v>-13649180</v>
      </c>
      <c r="K29" s="1">
        <f>'(E) SUF and Non-Res Revenue Adj'!Z28</f>
        <v>7638000</v>
      </c>
      <c r="M29" s="1">
        <f>'(E) SUF and Non-Res Revenue Adj'!AB28</f>
        <v>85100</v>
      </c>
      <c r="O29" s="1">
        <f t="shared" si="2"/>
        <v>53536642</v>
      </c>
      <c r="P29" s="1">
        <f t="shared" si="0"/>
        <v>33333000</v>
      </c>
      <c r="Q29" s="1">
        <f t="shared" si="5"/>
        <v>913100</v>
      </c>
      <c r="R29" s="1">
        <f t="shared" si="3"/>
        <v>3436000</v>
      </c>
      <c r="S29" s="1">
        <f t="shared" si="4"/>
        <v>91218742</v>
      </c>
    </row>
    <row r="30" spans="2:19" ht="12.75">
      <c r="B30" s="8" t="s">
        <v>20</v>
      </c>
      <c r="C30" s="30">
        <v>63925273</v>
      </c>
      <c r="D30" s="87">
        <v>24315000</v>
      </c>
      <c r="E30" s="87">
        <v>940000</v>
      </c>
      <c r="F30" s="11">
        <v>2685000</v>
      </c>
      <c r="G30" s="1">
        <f t="shared" si="1"/>
        <v>91865273</v>
      </c>
      <c r="I30" s="1">
        <f>'(B) Feb SBX3_1 Base Bud Adj-rev'!W29+'(C) July Revise Base Bud Adj '!I29+'(C) July Revise Base Bud Adj '!S29</f>
        <v>-12839600</v>
      </c>
      <c r="K30" s="1">
        <f>'(E) SUF and Non-Res Revenue Adj'!Z29</f>
        <v>7534000</v>
      </c>
      <c r="M30" s="1">
        <f>'(E) SUF and Non-Res Revenue Adj'!AB29</f>
        <v>88600</v>
      </c>
      <c r="O30" s="1">
        <f t="shared" si="2"/>
        <v>51085673</v>
      </c>
      <c r="P30" s="1">
        <f t="shared" si="0"/>
        <v>31849000</v>
      </c>
      <c r="Q30" s="1">
        <f t="shared" si="5"/>
        <v>1028600</v>
      </c>
      <c r="R30" s="1">
        <f>F30</f>
        <v>2685000</v>
      </c>
      <c r="S30" s="1">
        <f t="shared" si="4"/>
        <v>86648273</v>
      </c>
    </row>
    <row r="31" spans="2:19" ht="12.75">
      <c r="B31" s="8" t="s">
        <v>21</v>
      </c>
      <c r="C31" s="30">
        <v>63303857</v>
      </c>
      <c r="D31" s="87">
        <v>24879000</v>
      </c>
      <c r="E31" s="87">
        <v>460000</v>
      </c>
      <c r="F31" s="11">
        <v>3582000</v>
      </c>
      <c r="G31" s="1">
        <f t="shared" si="1"/>
        <v>92224857</v>
      </c>
      <c r="I31" s="1">
        <f>'(B) Feb SBX3_1 Base Bud Adj-rev'!W30+'(C) July Revise Base Bud Adj '!I30+'(C) July Revise Base Bud Adj '!S30</f>
        <v>-11957020</v>
      </c>
      <c r="K31" s="1">
        <f>'(E) SUF and Non-Res Revenue Adj'!Z30</f>
        <v>6760000</v>
      </c>
      <c r="M31" s="1">
        <f>'(E) SUF and Non-Res Revenue Adj'!AB30</f>
        <v>40000</v>
      </c>
      <c r="O31" s="1">
        <f t="shared" si="2"/>
        <v>51346837</v>
      </c>
      <c r="P31" s="1">
        <f t="shared" si="0"/>
        <v>31639000</v>
      </c>
      <c r="Q31" s="1">
        <f t="shared" si="5"/>
        <v>500000</v>
      </c>
      <c r="R31" s="1">
        <f t="shared" si="3"/>
        <v>3582000</v>
      </c>
      <c r="S31" s="1">
        <f t="shared" si="4"/>
        <v>87067837</v>
      </c>
    </row>
    <row r="32" ht="9" customHeight="1"/>
    <row r="33" spans="2:23" s="7" customFormat="1" ht="15" customHeight="1">
      <c r="B33" s="12" t="s">
        <v>22</v>
      </c>
      <c r="C33" s="12">
        <f>SUM(C9:C32)</f>
        <v>2720103451</v>
      </c>
      <c r="D33" s="12">
        <f>SUM(D9:D32)</f>
        <v>1249456000</v>
      </c>
      <c r="E33" s="12">
        <f>SUM(E9:E32)</f>
        <v>119859000</v>
      </c>
      <c r="F33" s="12">
        <f>SUM(F9:F31)</f>
        <v>151661000</v>
      </c>
      <c r="G33" s="12">
        <f>SUM(G9:G32)</f>
        <v>4241079451</v>
      </c>
      <c r="H33" s="9"/>
      <c r="I33" s="12">
        <f>SUM(I9:I32)</f>
        <v>-621052661</v>
      </c>
      <c r="J33" s="12"/>
      <c r="K33" s="12">
        <f>SUM(K9:K32)</f>
        <v>365670000</v>
      </c>
      <c r="L33" s="12"/>
      <c r="M33" s="12">
        <f>SUM(M9:M32)</f>
        <v>11483700</v>
      </c>
      <c r="N33" s="9"/>
      <c r="O33" s="12">
        <f>SUM(O9:O32)</f>
        <v>2099050790</v>
      </c>
      <c r="P33" s="12">
        <f>SUM(P9:P32)</f>
        <v>1615126000</v>
      </c>
      <c r="Q33" s="12">
        <f>SUM(Q9:Q32)</f>
        <v>131342700</v>
      </c>
      <c r="R33" s="12">
        <f>SUM(R9:R32)</f>
        <v>151661000</v>
      </c>
      <c r="S33" s="12">
        <f>SUM(S9:S32)</f>
        <v>3997180490</v>
      </c>
      <c r="U33" s="1"/>
      <c r="V33" s="1"/>
      <c r="W33" s="1"/>
    </row>
    <row r="34" ht="9" customHeight="1"/>
    <row r="35" spans="2:19" ht="12.75" customHeight="1">
      <c r="B35" s="1" t="s">
        <v>23</v>
      </c>
      <c r="C35" s="1">
        <v>75136554</v>
      </c>
      <c r="D35" s="1">
        <v>0</v>
      </c>
      <c r="E35" s="1">
        <v>0</v>
      </c>
      <c r="F35" s="1">
        <v>0</v>
      </c>
      <c r="G35" s="1">
        <f>SUM(C35:F35)</f>
        <v>75136554</v>
      </c>
      <c r="I35" s="1">
        <f>'(B) Feb SBX3_1 Base Bud Adj-rev'!W34+'(C) July Revise Base Bud Adj '!I34+'(C) July Revise Base Bud Adj '!S34</f>
        <v>-8125327</v>
      </c>
      <c r="K35" s="1">
        <f>'(E) SUF and Non-Res Revenue Adj'!Z34</f>
        <v>0</v>
      </c>
      <c r="M35" s="1">
        <f>'(E) SUF and Non-Res Revenue Adj'!AB34</f>
        <v>0</v>
      </c>
      <c r="O35" s="1">
        <f>C35+I35</f>
        <v>67011227</v>
      </c>
      <c r="P35" s="1">
        <f>D35+K35</f>
        <v>0</v>
      </c>
      <c r="Q35" s="1">
        <f>E35+M35</f>
        <v>0</v>
      </c>
      <c r="R35" s="1">
        <f>F35</f>
        <v>0</v>
      </c>
      <c r="S35" s="1">
        <f>SUM(O35:R35)</f>
        <v>67011227</v>
      </c>
    </row>
    <row r="36" spans="2:19" ht="12.75" customHeight="1">
      <c r="B36" s="11" t="s">
        <v>34</v>
      </c>
      <c r="C36" s="1">
        <v>1531735</v>
      </c>
      <c r="D36" s="1">
        <v>0</v>
      </c>
      <c r="E36" s="1">
        <v>0</v>
      </c>
      <c r="F36" s="1">
        <v>0</v>
      </c>
      <c r="G36" s="1">
        <f>SUM(C36:F36)</f>
        <v>1531735</v>
      </c>
      <c r="I36" s="1">
        <f>'(B) Feb SBX3_1 Base Bud Adj-rev'!W35+'(C) July Revise Base Bud Adj '!I35+'(C) July Revise Base Bud Adj '!S35</f>
        <v>-287000</v>
      </c>
      <c r="K36" s="1">
        <f>'(E) SUF and Non-Res Revenue Adj'!Z35</f>
        <v>879000</v>
      </c>
      <c r="M36" s="1">
        <f>'(E) SUF and Non-Res Revenue Adj'!AB35</f>
        <v>0</v>
      </c>
      <c r="O36" s="1">
        <f>C36+I36</f>
        <v>1244735</v>
      </c>
      <c r="P36" s="1">
        <f>D36+K36</f>
        <v>879000</v>
      </c>
      <c r="Q36" s="1">
        <f>E36+M36</f>
        <v>0</v>
      </c>
      <c r="R36" s="1">
        <f>F36</f>
        <v>0</v>
      </c>
      <c r="S36" s="1">
        <f>SUM(O36:R36)</f>
        <v>2123735</v>
      </c>
    </row>
    <row r="37" spans="2:19" ht="12.75" customHeight="1">
      <c r="B37" s="1" t="s">
        <v>24</v>
      </c>
      <c r="C37" s="1">
        <v>2660496</v>
      </c>
      <c r="D37" s="22">
        <v>1864000</v>
      </c>
      <c r="E37" s="22">
        <v>0</v>
      </c>
      <c r="F37" s="1">
        <v>0</v>
      </c>
      <c r="G37" s="1">
        <f>SUM(C37:F37)</f>
        <v>4524496</v>
      </c>
      <c r="I37" s="1">
        <f>'(B) Feb SBX3_1 Base Bud Adj-rev'!W36+'(C) July Revise Base Bud Adj '!I36+'(C) July Revise Base Bud Adj '!S36</f>
        <v>-184000</v>
      </c>
      <c r="K37" s="1">
        <f>'(E) SUF and Non-Res Revenue Adj'!Z36</f>
        <v>460000</v>
      </c>
      <c r="M37" s="1">
        <f>'(E) SUF and Non-Res Revenue Adj'!AB36</f>
        <v>0</v>
      </c>
      <c r="O37" s="1">
        <f>C37+I37</f>
        <v>2476496</v>
      </c>
      <c r="P37" s="1">
        <f>D37+K37</f>
        <v>2324000</v>
      </c>
      <c r="Q37" s="1">
        <f>E37+M37</f>
        <v>0</v>
      </c>
      <c r="R37" s="1">
        <f>F37</f>
        <v>0</v>
      </c>
      <c r="S37" s="1">
        <f>SUM(O37:R37)</f>
        <v>4800496</v>
      </c>
    </row>
    <row r="38" spans="2:19" ht="12.75" customHeight="1">
      <c r="B38" s="1" t="s">
        <v>25</v>
      </c>
      <c r="C38" s="1">
        <v>106800</v>
      </c>
      <c r="D38" s="1">
        <v>0</v>
      </c>
      <c r="E38" s="1">
        <v>0</v>
      </c>
      <c r="F38" s="1">
        <v>0</v>
      </c>
      <c r="G38" s="1">
        <f>SUM(C38:F38)</f>
        <v>106800</v>
      </c>
      <c r="I38" s="1">
        <f>'(B) Feb SBX3_1 Base Bud Adj-rev'!W37+'(C) July Revise Base Bud Adj '!I37+'(C) July Revise Base Bud Adj '!S37</f>
        <v>-8000</v>
      </c>
      <c r="K38" s="1">
        <f>'(E) SUF and Non-Res Revenue Adj'!Z37</f>
        <v>-40000</v>
      </c>
      <c r="M38" s="1">
        <f>'(E) SUF and Non-Res Revenue Adj'!AB37</f>
        <v>0</v>
      </c>
      <c r="O38" s="1">
        <f>C38+I38</f>
        <v>98800</v>
      </c>
      <c r="P38" s="1">
        <f>D38+K38</f>
        <v>-40000</v>
      </c>
      <c r="Q38" s="1">
        <f>E38+M38</f>
        <v>0</v>
      </c>
      <c r="R38" s="1">
        <f>F38</f>
        <v>0</v>
      </c>
      <c r="S38" s="1">
        <f>SUM(O38:R38)</f>
        <v>58800</v>
      </c>
    </row>
    <row r="39" spans="2:19" ht="12.75" customHeight="1">
      <c r="B39" s="1" t="s">
        <v>26</v>
      </c>
      <c r="C39" s="1">
        <v>171166964</v>
      </c>
      <c r="D39" s="1">
        <v>0</v>
      </c>
      <c r="E39" s="1">
        <v>0</v>
      </c>
      <c r="F39" s="1">
        <v>4573000</v>
      </c>
      <c r="G39" s="1">
        <f>SUM(C39:F39)</f>
        <v>175739964</v>
      </c>
      <c r="I39" s="1">
        <f>'(B) Feb SBX3_1 Base Bud Adj-rev'!W38+'(C) July Revise Base Bud Adj '!I38+'(C) July Revise Base Bud Adj '!S38</f>
        <v>-3097363</v>
      </c>
      <c r="K39" s="1">
        <f>'(E) SUF and Non-Res Revenue Adj'!Z38</f>
        <v>0</v>
      </c>
      <c r="L39" s="32"/>
      <c r="M39" s="1">
        <f>'(E) SUF and Non-Res Revenue Adj'!AB38</f>
        <v>0</v>
      </c>
      <c r="N39" s="85"/>
      <c r="O39" s="1">
        <f>C39+I39</f>
        <v>168069601</v>
      </c>
      <c r="P39" s="1">
        <f>D39+K39</f>
        <v>0</v>
      </c>
      <c r="Q39" s="1">
        <f>E39+M39</f>
        <v>0</v>
      </c>
      <c r="R39" s="86">
        <f>2126000</f>
        <v>2126000</v>
      </c>
      <c r="S39" s="1">
        <f>SUM(O39:R39)</f>
        <v>170195601</v>
      </c>
    </row>
    <row r="40" ht="9" customHeight="1"/>
    <row r="41" spans="2:19" s="7" customFormat="1" ht="15" customHeight="1" thickBot="1">
      <c r="B41" s="13" t="s">
        <v>27</v>
      </c>
      <c r="C41" s="13">
        <f>SUM(C33:C39)</f>
        <v>2970706000</v>
      </c>
      <c r="D41" s="13">
        <f>SUM(D33:D39)</f>
        <v>1251320000</v>
      </c>
      <c r="E41" s="13">
        <f>SUM(E33:E39)</f>
        <v>119859000</v>
      </c>
      <c r="F41" s="13">
        <f>SUM(F33:F39)</f>
        <v>156234000</v>
      </c>
      <c r="G41" s="13">
        <f>SUM(G33:G39)</f>
        <v>4498119000</v>
      </c>
      <c r="H41" s="9"/>
      <c r="I41" s="23">
        <f>SUM(I33:I39)</f>
        <v>-632754351</v>
      </c>
      <c r="J41" s="23"/>
      <c r="K41" s="23">
        <f>SUM(K33:K39)</f>
        <v>366969000</v>
      </c>
      <c r="L41" s="23"/>
      <c r="M41" s="23">
        <f>SUM(M33:M39)</f>
        <v>11483700</v>
      </c>
      <c r="N41" s="9"/>
      <c r="O41" s="13">
        <f>SUM(O33:O39)</f>
        <v>2337951649</v>
      </c>
      <c r="P41" s="13">
        <f>SUM(P33:P39)</f>
        <v>1618289000</v>
      </c>
      <c r="Q41" s="13">
        <f>SUM(Q33:Q39)</f>
        <v>131342700</v>
      </c>
      <c r="R41" s="13">
        <f>SUM(R33:R39)</f>
        <v>153787000</v>
      </c>
      <c r="S41" s="13">
        <f>SUM(S33:S39)</f>
        <v>4241370349</v>
      </c>
    </row>
    <row r="43" spans="1:19" ht="18">
      <c r="A43" s="75">
        <v>1</v>
      </c>
      <c r="B43" s="56" t="s">
        <v>136</v>
      </c>
      <c r="C43" s="33"/>
      <c r="D43" s="33"/>
      <c r="E43" s="33"/>
      <c r="F43" s="33"/>
      <c r="G43" s="33"/>
      <c r="H43" s="76"/>
      <c r="I43" s="77"/>
      <c r="J43" s="77"/>
      <c r="K43" s="77"/>
      <c r="L43" s="77"/>
      <c r="M43" s="77"/>
      <c r="N43" s="76"/>
      <c r="O43" s="33"/>
      <c r="P43" s="33"/>
      <c r="Q43" s="33"/>
      <c r="R43" s="33"/>
      <c r="S43" s="33"/>
    </row>
    <row r="44" spans="1:19" ht="18">
      <c r="A44" s="75">
        <v>2</v>
      </c>
      <c r="B44" s="321" t="s">
        <v>137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</row>
    <row r="49" ht="12.75">
      <c r="O49" s="155"/>
    </row>
  </sheetData>
  <sheetProtection/>
  <mergeCells count="5">
    <mergeCell ref="C4:G4"/>
    <mergeCell ref="I4:M4"/>
    <mergeCell ref="O4:S4"/>
    <mergeCell ref="B44:S44"/>
    <mergeCell ref="K5:M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5" sqref="T5"/>
    </sheetView>
  </sheetViews>
  <sheetFormatPr defaultColWidth="9.33203125" defaultRowHeight="12.75"/>
  <cols>
    <col min="1" max="1" width="24.5" style="1" customWidth="1"/>
    <col min="2" max="2" width="16.5" style="1" bestFit="1" customWidth="1"/>
    <col min="3" max="3" width="1.83203125" style="1" customWidth="1"/>
    <col min="4" max="4" width="13.33203125" style="25" bestFit="1" customWidth="1"/>
    <col min="5" max="5" width="1.83203125" style="25" customWidth="1"/>
    <col min="6" max="6" width="17.83203125" style="25" customWidth="1"/>
    <col min="7" max="7" width="1.83203125" style="25" customWidth="1"/>
    <col min="8" max="8" width="16.5" style="25" customWidth="1"/>
    <col min="9" max="9" width="2.33203125" style="25" customWidth="1"/>
    <col min="10" max="10" width="16.5" style="25" bestFit="1" customWidth="1"/>
    <col min="11" max="11" width="2.33203125" style="25" customWidth="1"/>
    <col min="12" max="12" width="15.5" style="25" bestFit="1" customWidth="1"/>
    <col min="13" max="13" width="2.33203125" style="25" customWidth="1"/>
    <col min="14" max="14" width="13.66015625" style="25" bestFit="1" customWidth="1"/>
    <col min="15" max="15" width="2.33203125" style="25" customWidth="1"/>
    <col min="16" max="16" width="12.66015625" style="25" bestFit="1" customWidth="1"/>
    <col min="17" max="17" width="2.33203125" style="25" customWidth="1"/>
    <col min="18" max="18" width="12.5" style="25" customWidth="1"/>
    <col min="19" max="19" width="2.33203125" style="25" bestFit="1" customWidth="1"/>
    <col min="20" max="21" width="14.83203125" style="25" customWidth="1"/>
    <col min="22" max="22" width="1.5" style="25" customWidth="1"/>
    <col min="23" max="23" width="17.16015625" style="1" bestFit="1" customWidth="1"/>
    <col min="24" max="24" width="1.83203125" style="1" customWidth="1"/>
    <col min="25" max="25" width="18.83203125" style="1" bestFit="1" customWidth="1"/>
    <col min="26" max="26" width="4.33203125" style="1" customWidth="1"/>
    <col min="27" max="27" width="14.5" style="8" bestFit="1" customWidth="1"/>
    <col min="28" max="16384" width="9.33203125" style="1" customWidth="1"/>
  </cols>
  <sheetData>
    <row r="1" spans="1:22" ht="18.75">
      <c r="A1" s="72" t="s">
        <v>164</v>
      </c>
      <c r="B1" s="2"/>
      <c r="C1" s="2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99"/>
      <c r="U1" s="99"/>
      <c r="V1" s="95"/>
    </row>
    <row r="2" spans="1:22" ht="16.5">
      <c r="A2" s="105"/>
      <c r="B2" s="2"/>
      <c r="C2" s="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99"/>
      <c r="U2" s="99"/>
      <c r="V2" s="95"/>
    </row>
    <row r="3" spans="2:27" s="78" customFormat="1" ht="14.25">
      <c r="B3" s="79">
        <f>-1</f>
        <v>-1</v>
      </c>
      <c r="D3" s="79">
        <v>-2</v>
      </c>
      <c r="E3" s="79"/>
      <c r="F3" s="79">
        <v>-3</v>
      </c>
      <c r="G3" s="79"/>
      <c r="H3" s="79">
        <v>-4</v>
      </c>
      <c r="J3" s="80">
        <f>-5</f>
        <v>-5</v>
      </c>
      <c r="K3" s="80"/>
      <c r="L3" s="79">
        <f>-6</f>
        <v>-6</v>
      </c>
      <c r="M3" s="79"/>
      <c r="N3" s="79">
        <f>-7</f>
        <v>-7</v>
      </c>
      <c r="O3" s="79"/>
      <c r="P3" s="79">
        <v>-8</v>
      </c>
      <c r="Q3" s="79"/>
      <c r="R3" s="79">
        <v>-9</v>
      </c>
      <c r="S3" s="79"/>
      <c r="T3" s="79">
        <v>-10</v>
      </c>
      <c r="U3" s="79">
        <v>-11</v>
      </c>
      <c r="V3" s="79"/>
      <c r="W3" s="79">
        <f>-12</f>
        <v>-12</v>
      </c>
      <c r="X3" s="79"/>
      <c r="Y3" s="79">
        <v>-13</v>
      </c>
      <c r="AA3" s="152"/>
    </row>
    <row r="4" spans="2:27" s="26" customFormat="1" ht="6" customHeight="1">
      <c r="B4" s="34"/>
      <c r="D4" s="34"/>
      <c r="E4" s="34"/>
      <c r="F4" s="34"/>
      <c r="G4" s="34"/>
      <c r="H4" s="27"/>
      <c r="I4" s="34"/>
      <c r="J4" s="34"/>
      <c r="K4" s="34"/>
      <c r="L4" s="34"/>
      <c r="M4" s="34"/>
      <c r="N4" s="34"/>
      <c r="O4" s="34"/>
      <c r="P4" s="34"/>
      <c r="Q4" s="34"/>
      <c r="R4" s="27"/>
      <c r="S4" s="34"/>
      <c r="T4" s="34"/>
      <c r="U4" s="34"/>
      <c r="V4" s="34"/>
      <c r="W4" s="102"/>
      <c r="Y4" s="27"/>
      <c r="AA4" s="102"/>
    </row>
    <row r="5" spans="1:27" s="16" customFormat="1" ht="89.25">
      <c r="A5" s="40"/>
      <c r="B5" s="29" t="s">
        <v>50</v>
      </c>
      <c r="C5" s="40"/>
      <c r="D5" s="29" t="s">
        <v>40</v>
      </c>
      <c r="E5" s="40"/>
      <c r="F5" s="41" t="s">
        <v>43</v>
      </c>
      <c r="G5" s="46"/>
      <c r="H5" s="29" t="s">
        <v>47</v>
      </c>
      <c r="I5" s="36"/>
      <c r="J5" s="41" t="s">
        <v>44</v>
      </c>
      <c r="K5" s="46"/>
      <c r="L5" s="81" t="s">
        <v>57</v>
      </c>
      <c r="M5" s="156"/>
      <c r="N5" s="81" t="s">
        <v>105</v>
      </c>
      <c r="O5" s="36"/>
      <c r="P5" s="29" t="s">
        <v>45</v>
      </c>
      <c r="Q5" s="36"/>
      <c r="R5" s="73" t="s">
        <v>35</v>
      </c>
      <c r="S5" s="36"/>
      <c r="T5" s="81" t="s">
        <v>139</v>
      </c>
      <c r="U5" s="81" t="s">
        <v>46</v>
      </c>
      <c r="V5" s="46"/>
      <c r="W5" s="272" t="s">
        <v>147</v>
      </c>
      <c r="X5" s="40"/>
      <c r="Y5" s="272" t="s">
        <v>146</v>
      </c>
      <c r="AA5" s="40"/>
    </row>
    <row r="6" spans="1:25" ht="12.75" customHeight="1">
      <c r="A6" s="42"/>
      <c r="B6" s="42"/>
      <c r="C6" s="42"/>
      <c r="D6" s="43"/>
      <c r="E6" s="43"/>
      <c r="F6" s="37" t="s">
        <v>41</v>
      </c>
      <c r="G6" s="44"/>
      <c r="H6" s="44"/>
      <c r="I6" s="44"/>
      <c r="J6" s="37" t="s">
        <v>42</v>
      </c>
      <c r="K6" s="44"/>
      <c r="M6" s="50"/>
      <c r="N6" s="323"/>
      <c r="O6" s="323"/>
      <c r="P6" s="43"/>
      <c r="Q6" s="44"/>
      <c r="R6" s="44"/>
      <c r="S6" s="43"/>
      <c r="T6" s="271"/>
      <c r="U6" s="271"/>
      <c r="V6" s="44"/>
      <c r="W6" s="37" t="s">
        <v>103</v>
      </c>
      <c r="X6" s="42"/>
      <c r="Y6" s="37" t="s">
        <v>104</v>
      </c>
    </row>
    <row r="7" spans="1:25" ht="13.5" customHeight="1">
      <c r="A7" s="42"/>
      <c r="B7" s="42"/>
      <c r="C7" s="42"/>
      <c r="D7" s="43"/>
      <c r="E7" s="43"/>
      <c r="F7" s="37"/>
      <c r="G7" s="44"/>
      <c r="H7" s="44"/>
      <c r="I7" s="44"/>
      <c r="J7" s="37"/>
      <c r="K7" s="44"/>
      <c r="L7" s="43"/>
      <c r="M7" s="38"/>
      <c r="N7" s="51"/>
      <c r="O7" s="44"/>
      <c r="P7" s="43"/>
      <c r="Q7" s="44"/>
      <c r="R7" s="44"/>
      <c r="S7" s="43"/>
      <c r="T7" s="271"/>
      <c r="U7" s="271"/>
      <c r="V7" s="43"/>
      <c r="W7" s="45"/>
      <c r="X7" s="42"/>
      <c r="Y7" s="45"/>
    </row>
    <row r="8" spans="1:27" s="67" customFormat="1" ht="15">
      <c r="A8" s="67" t="s">
        <v>0</v>
      </c>
      <c r="B8" s="61">
        <f>'(A) July Revise Budget Summary'!C9</f>
        <v>61239052</v>
      </c>
      <c r="C8" s="61"/>
      <c r="D8" s="58">
        <v>-25030</v>
      </c>
      <c r="E8" s="61"/>
      <c r="F8" s="68">
        <f aca="true" t="shared" si="0" ref="F8:F30">B8+D8</f>
        <v>61214022</v>
      </c>
      <c r="G8" s="58"/>
      <c r="H8" s="58">
        <v>-1409000</v>
      </c>
      <c r="I8" s="58"/>
      <c r="J8" s="68">
        <f aca="true" t="shared" si="1" ref="J8:J30">F8+H8</f>
        <v>59805022</v>
      </c>
      <c r="K8" s="58"/>
      <c r="L8" s="104">
        <v>-168800</v>
      </c>
      <c r="M8" s="58"/>
      <c r="N8" s="58">
        <v>0</v>
      </c>
      <c r="O8" s="91"/>
      <c r="Q8" s="58"/>
      <c r="R8" s="58"/>
      <c r="S8" s="58"/>
      <c r="T8" s="58">
        <v>-784000</v>
      </c>
      <c r="U8" s="58">
        <v>1448800</v>
      </c>
      <c r="V8" s="58"/>
      <c r="W8" s="82">
        <f>D8+H8+L8+N8+P8+R8+T8+U8</f>
        <v>-938030</v>
      </c>
      <c r="X8" s="61"/>
      <c r="Y8" s="68">
        <f>B8+W8</f>
        <v>60301022</v>
      </c>
      <c r="AA8" s="153"/>
    </row>
    <row r="9" spans="1:27" s="35" customFormat="1" ht="15">
      <c r="A9" s="35" t="s">
        <v>1</v>
      </c>
      <c r="B9" s="56">
        <f>'(A) July Revise Budget Summary'!C10</f>
        <v>43032603</v>
      </c>
      <c r="C9" s="56"/>
      <c r="D9" s="89">
        <v>-15150</v>
      </c>
      <c r="E9" s="56"/>
      <c r="F9" s="69">
        <f t="shared" si="0"/>
        <v>43017453</v>
      </c>
      <c r="G9" s="59"/>
      <c r="H9" s="59">
        <v>-990000</v>
      </c>
      <c r="I9" s="59"/>
      <c r="J9" s="69">
        <f t="shared" si="1"/>
        <v>42027453</v>
      </c>
      <c r="K9" s="59"/>
      <c r="L9" s="59">
        <v>-118600</v>
      </c>
      <c r="M9" s="60"/>
      <c r="N9" s="59">
        <v>729900</v>
      </c>
      <c r="O9" s="91"/>
      <c r="Q9" s="59"/>
      <c r="R9" s="59"/>
      <c r="S9" s="59"/>
      <c r="T9" s="59">
        <v>-283000</v>
      </c>
      <c r="U9" s="59">
        <v>325900</v>
      </c>
      <c r="V9" s="59"/>
      <c r="W9" s="83">
        <f>D9+H9+L9+N9+P9+R9+T9+U9</f>
        <v>-350950</v>
      </c>
      <c r="X9" s="56"/>
      <c r="Y9" s="69">
        <f>B9+W9</f>
        <v>42681653</v>
      </c>
      <c r="AA9" s="153"/>
    </row>
    <row r="10" spans="1:27" s="35" customFormat="1" ht="15">
      <c r="A10" s="35" t="s">
        <v>2</v>
      </c>
      <c r="B10" s="56">
        <f>'(A) July Revise Budget Summary'!C11</f>
        <v>119890742</v>
      </c>
      <c r="C10" s="56"/>
      <c r="D10" s="89">
        <v>-54540</v>
      </c>
      <c r="E10" s="56"/>
      <c r="F10" s="69">
        <f>B10+D10</f>
        <v>119836202</v>
      </c>
      <c r="G10" s="59"/>
      <c r="H10" s="59">
        <v>-2759000</v>
      </c>
      <c r="I10" s="59"/>
      <c r="J10" s="69">
        <f t="shared" si="1"/>
        <v>117077202</v>
      </c>
      <c r="K10" s="59"/>
      <c r="L10" s="59">
        <v>-330400</v>
      </c>
      <c r="M10" s="60"/>
      <c r="N10" s="59">
        <v>114200</v>
      </c>
      <c r="O10" s="91"/>
      <c r="Q10" s="59"/>
      <c r="R10" s="59"/>
      <c r="S10" s="59"/>
      <c r="T10" s="59">
        <v>-1620000</v>
      </c>
      <c r="U10" s="59">
        <v>950200</v>
      </c>
      <c r="V10" s="59"/>
      <c r="W10" s="83">
        <f>D10+H10+L10+N10+P10+R10+T10+U10</f>
        <v>-3699540</v>
      </c>
      <c r="X10" s="56"/>
      <c r="Y10" s="69">
        <f>B10+W10</f>
        <v>116191202</v>
      </c>
      <c r="AA10" s="153"/>
    </row>
    <row r="11" spans="1:27" s="35" customFormat="1" ht="15">
      <c r="A11" s="35" t="s">
        <v>3</v>
      </c>
      <c r="B11" s="56">
        <f>'(A) July Revise Budget Summary'!C12</f>
        <v>71927143</v>
      </c>
      <c r="C11" s="56"/>
      <c r="D11" s="89">
        <v>-30061</v>
      </c>
      <c r="E11" s="56"/>
      <c r="F11" s="69">
        <f t="shared" si="0"/>
        <v>71897082</v>
      </c>
      <c r="G11" s="59"/>
      <c r="H11" s="59">
        <v>-1655000</v>
      </c>
      <c r="I11" s="59"/>
      <c r="J11" s="69">
        <f t="shared" si="1"/>
        <v>70242082</v>
      </c>
      <c r="K11" s="59"/>
      <c r="L11" s="59">
        <v>-198200</v>
      </c>
      <c r="M11" s="60"/>
      <c r="N11" s="59">
        <v>1207300</v>
      </c>
      <c r="O11" s="91"/>
      <c r="Q11" s="59"/>
      <c r="R11" s="59"/>
      <c r="S11" s="59"/>
      <c r="T11" s="59">
        <v>-1227000</v>
      </c>
      <c r="U11" s="59">
        <v>3037800</v>
      </c>
      <c r="V11" s="59"/>
      <c r="W11" s="83">
        <f>D11+H11+L11+N11+P11+R11+T11+U11</f>
        <v>1134839</v>
      </c>
      <c r="X11" s="56"/>
      <c r="Y11" s="69">
        <f>B11+W11</f>
        <v>73061982</v>
      </c>
      <c r="AA11" s="153"/>
    </row>
    <row r="12" spans="1:27" s="35" customFormat="1" ht="15">
      <c r="A12" s="35" t="s">
        <v>29</v>
      </c>
      <c r="B12" s="56">
        <f>'(A) July Revise Budget Summary'!C13</f>
        <v>89778621</v>
      </c>
      <c r="C12" s="56"/>
      <c r="D12" s="89">
        <v>-47700</v>
      </c>
      <c r="E12" s="56"/>
      <c r="F12" s="69">
        <f t="shared" si="0"/>
        <v>89730921</v>
      </c>
      <c r="G12" s="59"/>
      <c r="H12" s="59">
        <v>-2065000</v>
      </c>
      <c r="I12" s="59"/>
      <c r="J12" s="69">
        <f t="shared" si="1"/>
        <v>87665921</v>
      </c>
      <c r="K12" s="59"/>
      <c r="L12" s="59">
        <v>-247400</v>
      </c>
      <c r="M12" s="60"/>
      <c r="N12" s="59">
        <v>0</v>
      </c>
      <c r="O12" s="91"/>
      <c r="Q12" s="59"/>
      <c r="R12" s="59"/>
      <c r="S12" s="59"/>
      <c r="T12" s="59">
        <v>-1460000</v>
      </c>
      <c r="U12" s="59">
        <v>1579400</v>
      </c>
      <c r="V12" s="59"/>
      <c r="W12" s="83">
        <f>D12+H12+L12+N12+P12+R12+T12+U12</f>
        <v>-2240700</v>
      </c>
      <c r="X12" s="56"/>
      <c r="Y12" s="69">
        <f>B12+W12</f>
        <v>87537921</v>
      </c>
      <c r="AA12" s="153"/>
    </row>
    <row r="13" spans="1:27" s="35" customFormat="1" ht="15">
      <c r="A13" s="35" t="s">
        <v>4</v>
      </c>
      <c r="B13" s="56">
        <f>'(A) July Revise Budget Summary'!C14</f>
        <v>153592512</v>
      </c>
      <c r="C13" s="56"/>
      <c r="D13" s="89">
        <v>-65010</v>
      </c>
      <c r="E13" s="56"/>
      <c r="F13" s="69">
        <f t="shared" si="0"/>
        <v>153527502</v>
      </c>
      <c r="G13" s="59"/>
      <c r="H13" s="59">
        <v>-3533000</v>
      </c>
      <c r="I13" s="59"/>
      <c r="J13" s="69">
        <f t="shared" si="1"/>
        <v>149994502</v>
      </c>
      <c r="K13" s="59"/>
      <c r="L13" s="59">
        <v>-423300</v>
      </c>
      <c r="M13" s="60"/>
      <c r="N13" s="59">
        <v>715900</v>
      </c>
      <c r="O13" s="91"/>
      <c r="Q13" s="59"/>
      <c r="R13" s="59"/>
      <c r="S13" s="59"/>
      <c r="T13" s="59">
        <v>-2146000</v>
      </c>
      <c r="U13" s="59">
        <v>2116400</v>
      </c>
      <c r="V13" s="59"/>
      <c r="W13" s="83">
        <f>D13+H13+L13+N13+P13+R13+T13+U13</f>
        <v>-3335010</v>
      </c>
      <c r="X13" s="56"/>
      <c r="Y13" s="69">
        <f>B13+W13</f>
        <v>150257502</v>
      </c>
      <c r="AA13" s="153"/>
    </row>
    <row r="14" spans="1:27" s="35" customFormat="1" ht="15">
      <c r="A14" s="35" t="s">
        <v>5</v>
      </c>
      <c r="B14" s="56">
        <f>'(A) July Revise Budget Summary'!C15</f>
        <v>179775337</v>
      </c>
      <c r="C14" s="56"/>
      <c r="D14" s="89">
        <v>-96600</v>
      </c>
      <c r="E14" s="56"/>
      <c r="F14" s="69">
        <f t="shared" si="0"/>
        <v>179678737</v>
      </c>
      <c r="G14" s="59"/>
      <c r="H14" s="59">
        <v>-4136000</v>
      </c>
      <c r="I14" s="59"/>
      <c r="J14" s="69">
        <f t="shared" si="1"/>
        <v>175542737</v>
      </c>
      <c r="K14" s="59"/>
      <c r="L14" s="59">
        <v>-495400</v>
      </c>
      <c r="M14" s="60"/>
      <c r="N14" s="59">
        <v>1949700</v>
      </c>
      <c r="O14" s="91"/>
      <c r="Q14" s="59"/>
      <c r="R14" s="59"/>
      <c r="S14" s="59"/>
      <c r="T14" s="59">
        <v>-3544000</v>
      </c>
      <c r="U14" s="59">
        <v>2388800</v>
      </c>
      <c r="V14" s="59"/>
      <c r="W14" s="83">
        <f>D14+H14+L14+N14+P14+R14+T14+U14</f>
        <v>-3933500</v>
      </c>
      <c r="X14" s="56"/>
      <c r="Y14" s="69">
        <f>B14+W14</f>
        <v>175841837</v>
      </c>
      <c r="AA14" s="153"/>
    </row>
    <row r="15" spans="1:27" s="35" customFormat="1" ht="15">
      <c r="A15" s="35" t="s">
        <v>6</v>
      </c>
      <c r="B15" s="56">
        <f>'(A) July Revise Budget Summary'!C16</f>
        <v>76210440</v>
      </c>
      <c r="C15" s="56"/>
      <c r="D15" s="89">
        <v>-30630</v>
      </c>
      <c r="E15" s="56"/>
      <c r="F15" s="69">
        <f t="shared" si="0"/>
        <v>76179810</v>
      </c>
      <c r="G15" s="59"/>
      <c r="H15" s="59">
        <v>-1753000</v>
      </c>
      <c r="I15" s="59"/>
      <c r="J15" s="69">
        <f t="shared" si="1"/>
        <v>74426810</v>
      </c>
      <c r="K15" s="59"/>
      <c r="L15" s="59">
        <v>-210000</v>
      </c>
      <c r="M15" s="60"/>
      <c r="N15" s="59">
        <v>0</v>
      </c>
      <c r="O15" s="91"/>
      <c r="Q15" s="59"/>
      <c r="R15" s="59"/>
      <c r="S15" s="59"/>
      <c r="T15" s="59">
        <v>-778000</v>
      </c>
      <c r="U15" s="59">
        <v>655200</v>
      </c>
      <c r="V15" s="59"/>
      <c r="W15" s="83">
        <f>D15+H15+L15+N15+P15+R15+T15+U15</f>
        <v>-2116430</v>
      </c>
      <c r="X15" s="56"/>
      <c r="Y15" s="69">
        <f>B15+W15</f>
        <v>74094010</v>
      </c>
      <c r="AA15" s="153"/>
    </row>
    <row r="16" spans="1:27" s="35" customFormat="1" ht="15">
      <c r="A16" s="35" t="s">
        <v>7</v>
      </c>
      <c r="B16" s="56">
        <f>'(A) July Revise Budget Summary'!C17</f>
        <v>204868758</v>
      </c>
      <c r="C16" s="56"/>
      <c r="D16" s="89">
        <v>-111180</v>
      </c>
      <c r="E16" s="56"/>
      <c r="F16" s="69">
        <f t="shared" si="0"/>
        <v>204757578</v>
      </c>
      <c r="G16" s="59"/>
      <c r="H16" s="59">
        <v>-4713000</v>
      </c>
      <c r="I16" s="59"/>
      <c r="J16" s="69">
        <f t="shared" si="1"/>
        <v>200044578</v>
      </c>
      <c r="K16" s="59"/>
      <c r="L16" s="59">
        <v>-564500</v>
      </c>
      <c r="M16" s="60"/>
      <c r="N16" s="59">
        <v>0</v>
      </c>
      <c r="O16" s="91"/>
      <c r="Q16" s="59"/>
      <c r="R16" s="59"/>
      <c r="S16" s="59"/>
      <c r="T16" s="59">
        <v>-3624000</v>
      </c>
      <c r="U16" s="59">
        <v>2681100</v>
      </c>
      <c r="V16" s="59"/>
      <c r="W16" s="83">
        <f>D16+H16+L16+N16+P16+R16+T16+U16</f>
        <v>-6331580</v>
      </c>
      <c r="X16" s="56"/>
      <c r="Y16" s="69">
        <f>B16+W16</f>
        <v>198537178</v>
      </c>
      <c r="AA16" s="153"/>
    </row>
    <row r="17" spans="1:27" s="35" customFormat="1" ht="15">
      <c r="A17" s="35" t="s">
        <v>8</v>
      </c>
      <c r="B17" s="56">
        <f>'(A) July Revise Budget Summary'!C18</f>
        <v>133080149</v>
      </c>
      <c r="C17" s="56"/>
      <c r="D17" s="89">
        <v>-61170</v>
      </c>
      <c r="E17" s="56"/>
      <c r="F17" s="69">
        <f t="shared" si="0"/>
        <v>133018979</v>
      </c>
      <c r="G17" s="59"/>
      <c r="H17" s="59">
        <v>-3062000</v>
      </c>
      <c r="I17" s="59"/>
      <c r="J17" s="69">
        <f t="shared" si="1"/>
        <v>129956979</v>
      </c>
      <c r="K17" s="59"/>
      <c r="L17" s="59">
        <v>-366700</v>
      </c>
      <c r="M17" s="60"/>
      <c r="N17" s="285">
        <v>0</v>
      </c>
      <c r="O17" s="91"/>
      <c r="Q17" s="59"/>
      <c r="R17" s="59"/>
      <c r="S17" s="59"/>
      <c r="T17" s="59">
        <v>-2224000</v>
      </c>
      <c r="U17" s="59">
        <v>3649000</v>
      </c>
      <c r="V17" s="59"/>
      <c r="W17" s="83">
        <f>D17+H17+L17+N17+P17+R17+T17+U17</f>
        <v>-2064870</v>
      </c>
      <c r="X17" s="56"/>
      <c r="Y17" s="69">
        <f>B17+W17</f>
        <v>131015279</v>
      </c>
      <c r="AA17" s="153"/>
    </row>
    <row r="18" spans="1:27" s="35" customFormat="1" ht="15">
      <c r="A18" s="35" t="s">
        <v>9</v>
      </c>
      <c r="B18" s="56">
        <f>'(A) July Revise Budget Summary'!C19</f>
        <v>19018281</v>
      </c>
      <c r="C18" s="56"/>
      <c r="D18" s="89">
        <v>-8070</v>
      </c>
      <c r="E18" s="56"/>
      <c r="F18" s="69">
        <f t="shared" si="0"/>
        <v>19010211</v>
      </c>
      <c r="G18" s="59"/>
      <c r="H18" s="59">
        <v>-438000</v>
      </c>
      <c r="I18" s="59"/>
      <c r="J18" s="69">
        <f t="shared" si="1"/>
        <v>18572211</v>
      </c>
      <c r="K18" s="59"/>
      <c r="L18" s="59">
        <v>-52400</v>
      </c>
      <c r="M18" s="60"/>
      <c r="N18" s="59">
        <v>0</v>
      </c>
      <c r="O18" s="91"/>
      <c r="Q18" s="59"/>
      <c r="R18" s="59"/>
      <c r="S18" s="59"/>
      <c r="T18" s="59">
        <v>-73000</v>
      </c>
      <c r="U18" s="59">
        <v>52100</v>
      </c>
      <c r="V18" s="59"/>
      <c r="W18" s="83">
        <f>D18+H18+L18+N18+P18+R18+T18+U18</f>
        <v>-519370</v>
      </c>
      <c r="X18" s="56"/>
      <c r="Y18" s="69">
        <f>B18+W18</f>
        <v>18498911</v>
      </c>
      <c r="AA18" s="153"/>
    </row>
    <row r="19" spans="1:27" s="35" customFormat="1" ht="15">
      <c r="A19" s="35" t="s">
        <v>10</v>
      </c>
      <c r="B19" s="56">
        <f>'(A) July Revise Budget Summary'!C20</f>
        <v>53009703</v>
      </c>
      <c r="C19" s="56"/>
      <c r="D19" s="89">
        <v>-16800</v>
      </c>
      <c r="E19" s="56"/>
      <c r="F19" s="69">
        <f t="shared" si="0"/>
        <v>52992903</v>
      </c>
      <c r="G19" s="59"/>
      <c r="H19" s="59">
        <v>-1220000</v>
      </c>
      <c r="I19" s="59"/>
      <c r="J19" s="69">
        <f t="shared" si="1"/>
        <v>51772903</v>
      </c>
      <c r="K19" s="59"/>
      <c r="L19" s="59">
        <v>-146100</v>
      </c>
      <c r="M19" s="60"/>
      <c r="N19" s="59">
        <v>32900</v>
      </c>
      <c r="O19" s="91"/>
      <c r="Q19" s="59"/>
      <c r="R19" s="59"/>
      <c r="S19" s="59"/>
      <c r="T19" s="59">
        <v>-395000</v>
      </c>
      <c r="U19" s="59">
        <v>776400</v>
      </c>
      <c r="V19" s="59"/>
      <c r="W19" s="83">
        <f>D19+H19+L19+N19+P19+R19+T19+U19</f>
        <v>-968600</v>
      </c>
      <c r="X19" s="56"/>
      <c r="Y19" s="69">
        <f>B19+W19</f>
        <v>52041103</v>
      </c>
      <c r="AA19" s="153"/>
    </row>
    <row r="20" spans="1:27" s="35" customFormat="1" ht="15">
      <c r="A20" s="35" t="s">
        <v>11</v>
      </c>
      <c r="B20" s="56">
        <f>'(A) July Revise Budget Summary'!C21</f>
        <v>194191936</v>
      </c>
      <c r="C20" s="56"/>
      <c r="D20" s="89">
        <v>-93720</v>
      </c>
      <c r="E20" s="56"/>
      <c r="F20" s="69">
        <f t="shared" si="0"/>
        <v>194098216</v>
      </c>
      <c r="G20" s="59"/>
      <c r="H20" s="59">
        <v>-4467000</v>
      </c>
      <c r="I20" s="59"/>
      <c r="J20" s="69">
        <f t="shared" si="1"/>
        <v>189631216</v>
      </c>
      <c r="K20" s="59"/>
      <c r="L20" s="59">
        <v>-535200</v>
      </c>
      <c r="M20" s="60"/>
      <c r="N20" s="59">
        <v>1848600</v>
      </c>
      <c r="O20" s="91"/>
      <c r="Q20" s="59"/>
      <c r="R20" s="59"/>
      <c r="S20" s="59"/>
      <c r="T20" s="59">
        <v>-3414000</v>
      </c>
      <c r="U20" s="59">
        <v>3059700</v>
      </c>
      <c r="V20" s="59"/>
      <c r="W20" s="83">
        <f>D20+H20+L20+N20+P20+R20+T20+U20</f>
        <v>-3601620</v>
      </c>
      <c r="X20" s="56"/>
      <c r="Y20" s="69">
        <f>B20+W20</f>
        <v>190590316</v>
      </c>
      <c r="AA20" s="153"/>
    </row>
    <row r="21" spans="1:27" s="35" customFormat="1" ht="15">
      <c r="A21" s="35" t="s">
        <v>12</v>
      </c>
      <c r="B21" s="56">
        <f>'(A) July Revise Budget Summary'!C22</f>
        <v>145896192</v>
      </c>
      <c r="C21" s="56"/>
      <c r="D21" s="89">
        <v>-72070</v>
      </c>
      <c r="E21" s="56"/>
      <c r="F21" s="69">
        <f t="shared" si="0"/>
        <v>145824122</v>
      </c>
      <c r="G21" s="59"/>
      <c r="H21" s="59">
        <v>-3357000</v>
      </c>
      <c r="I21" s="59"/>
      <c r="J21" s="69">
        <f t="shared" si="1"/>
        <v>142467122</v>
      </c>
      <c r="K21" s="59"/>
      <c r="L21" s="59">
        <v>-402100</v>
      </c>
      <c r="M21" s="60"/>
      <c r="N21" s="59">
        <v>0</v>
      </c>
      <c r="O21" s="91"/>
      <c r="Q21" s="59"/>
      <c r="R21" s="59"/>
      <c r="S21" s="59"/>
      <c r="T21" s="59">
        <v>-2197000</v>
      </c>
      <c r="U21" s="59">
        <v>1615900</v>
      </c>
      <c r="V21" s="59"/>
      <c r="W21" s="83">
        <f>D21+H21+L21+N21+P21+R21+T21+U21</f>
        <v>-4412270</v>
      </c>
      <c r="X21" s="56"/>
      <c r="Y21" s="69">
        <f>B21+W21</f>
        <v>141483922</v>
      </c>
      <c r="AA21" s="153"/>
    </row>
    <row r="22" spans="1:27" s="35" customFormat="1" ht="15">
      <c r="A22" s="35" t="s">
        <v>13</v>
      </c>
      <c r="B22" s="56">
        <f>'(A) July Revise Budget Summary'!C23</f>
        <v>165622497</v>
      </c>
      <c r="C22" s="56"/>
      <c r="D22" s="89">
        <v>-83280</v>
      </c>
      <c r="E22" s="56"/>
      <c r="F22" s="69">
        <f t="shared" si="0"/>
        <v>165539217</v>
      </c>
      <c r="G22" s="59"/>
      <c r="H22" s="59">
        <v>-3881000</v>
      </c>
      <c r="I22" s="59"/>
      <c r="J22" s="69">
        <f t="shared" si="1"/>
        <v>161658217</v>
      </c>
      <c r="K22" s="59"/>
      <c r="L22" s="59">
        <v>-456200</v>
      </c>
      <c r="M22" s="60"/>
      <c r="N22" s="59">
        <v>0</v>
      </c>
      <c r="O22" s="91"/>
      <c r="Q22" s="59"/>
      <c r="R22" s="59"/>
      <c r="S22" s="59"/>
      <c r="T22" s="59">
        <v>-2783000</v>
      </c>
      <c r="U22" s="59">
        <v>3007700</v>
      </c>
      <c r="V22" s="59"/>
      <c r="W22" s="83">
        <f>D22+H22+L22+N22+P22+R22+T22+U22</f>
        <v>-4195780</v>
      </c>
      <c r="X22" s="56"/>
      <c r="Y22" s="69">
        <f>B22+W22</f>
        <v>161426717</v>
      </c>
      <c r="AA22" s="153"/>
    </row>
    <row r="23" spans="1:27" s="35" customFormat="1" ht="15">
      <c r="A23" s="35" t="s">
        <v>14</v>
      </c>
      <c r="B23" s="56">
        <f>'(A) July Revise Budget Summary'!C24</f>
        <v>106451088</v>
      </c>
      <c r="C23" s="56"/>
      <c r="D23" s="89">
        <v>-46630</v>
      </c>
      <c r="E23" s="56"/>
      <c r="F23" s="69">
        <f t="shared" si="0"/>
        <v>106404458</v>
      </c>
      <c r="G23" s="59"/>
      <c r="H23" s="59">
        <v>-2449000</v>
      </c>
      <c r="I23" s="59"/>
      <c r="J23" s="69">
        <f t="shared" si="1"/>
        <v>103955458</v>
      </c>
      <c r="K23" s="59"/>
      <c r="L23" s="59">
        <v>-293400</v>
      </c>
      <c r="M23" s="60"/>
      <c r="N23" s="59">
        <v>0</v>
      </c>
      <c r="O23" s="91"/>
      <c r="Q23" s="59"/>
      <c r="R23" s="59"/>
      <c r="S23" s="59"/>
      <c r="T23" s="59">
        <v>-1791000</v>
      </c>
      <c r="U23" s="59">
        <v>3064400</v>
      </c>
      <c r="V23" s="59"/>
      <c r="W23" s="83">
        <f>D23+H23+L23+N23+P23+R23+T23+U23</f>
        <v>-1515630</v>
      </c>
      <c r="X23" s="56"/>
      <c r="Y23" s="69">
        <f>B23+W23</f>
        <v>104935458</v>
      </c>
      <c r="AA23" s="153"/>
    </row>
    <row r="24" spans="1:27" s="35" customFormat="1" ht="15">
      <c r="A24" s="35" t="s">
        <v>15</v>
      </c>
      <c r="B24" s="56">
        <f>'(A) July Revise Budget Summary'!C25</f>
        <v>221267746</v>
      </c>
      <c r="C24" s="56"/>
      <c r="D24" s="89">
        <v>-122730</v>
      </c>
      <c r="E24" s="56"/>
      <c r="F24" s="69">
        <f t="shared" si="0"/>
        <v>221145016</v>
      </c>
      <c r="G24" s="59"/>
      <c r="H24" s="59">
        <v>-5090000</v>
      </c>
      <c r="I24" s="59"/>
      <c r="J24" s="69">
        <f t="shared" si="1"/>
        <v>216055016</v>
      </c>
      <c r="K24" s="59"/>
      <c r="L24" s="59">
        <v>-609700</v>
      </c>
      <c r="M24" s="60"/>
      <c r="N24" s="285">
        <v>32600</v>
      </c>
      <c r="O24" s="91"/>
      <c r="Q24" s="59"/>
      <c r="R24" s="59"/>
      <c r="S24" s="59"/>
      <c r="T24" s="285">
        <f>-3417000</f>
        <v>-3417000</v>
      </c>
      <c r="U24" s="285">
        <v>2875500</v>
      </c>
      <c r="V24" s="59"/>
      <c r="W24" s="83">
        <f>D24+H24+L24+N24+P24+R24+T24+U24</f>
        <v>-6331330</v>
      </c>
      <c r="X24" s="56"/>
      <c r="Y24" s="69">
        <f>B24+W24</f>
        <v>214936416</v>
      </c>
      <c r="AA24" s="153"/>
    </row>
    <row r="25" spans="1:27" s="35" customFormat="1" ht="15">
      <c r="A25" s="35" t="s">
        <v>16</v>
      </c>
      <c r="B25" s="56">
        <f>'(A) July Revise Budget Summary'!C26</f>
        <v>170761449</v>
      </c>
      <c r="C25" s="56"/>
      <c r="D25" s="89">
        <v>-95700</v>
      </c>
      <c r="E25" s="56"/>
      <c r="F25" s="69">
        <f t="shared" si="0"/>
        <v>170665749</v>
      </c>
      <c r="G25" s="59"/>
      <c r="H25" s="59">
        <v>-3928000</v>
      </c>
      <c r="I25" s="59"/>
      <c r="J25" s="69">
        <f t="shared" si="1"/>
        <v>166737749</v>
      </c>
      <c r="K25" s="59"/>
      <c r="L25" s="59">
        <v>-470500</v>
      </c>
      <c r="M25" s="60"/>
      <c r="N25" s="59">
        <v>33100</v>
      </c>
      <c r="O25" s="91"/>
      <c r="Q25" s="59"/>
      <c r="R25" s="59"/>
      <c r="S25" s="59"/>
      <c r="T25" s="59">
        <v>-2985000</v>
      </c>
      <c r="U25" s="59">
        <v>2210300</v>
      </c>
      <c r="V25" s="59"/>
      <c r="W25" s="83">
        <f>D25+H25+L25+N25+P25+R25+T25+U25</f>
        <v>-5235800</v>
      </c>
      <c r="X25" s="56"/>
      <c r="Y25" s="69">
        <f>B25+W25</f>
        <v>165525649</v>
      </c>
      <c r="AA25" s="153"/>
    </row>
    <row r="26" spans="1:27" s="35" customFormat="1" ht="15">
      <c r="A26" s="35" t="s">
        <v>17</v>
      </c>
      <c r="B26" s="56">
        <f>'(A) July Revise Budget Summary'!C27</f>
        <v>167277822</v>
      </c>
      <c r="C26" s="56"/>
      <c r="D26" s="89">
        <v>-88550</v>
      </c>
      <c r="E26" s="56"/>
      <c r="F26" s="69">
        <f t="shared" si="0"/>
        <v>167189272</v>
      </c>
      <c r="G26" s="59"/>
      <c r="H26" s="59">
        <v>-3848000</v>
      </c>
      <c r="I26" s="59"/>
      <c r="J26" s="69">
        <f t="shared" si="1"/>
        <v>163341272</v>
      </c>
      <c r="K26" s="59"/>
      <c r="L26" s="59">
        <v>-461000</v>
      </c>
      <c r="M26" s="60"/>
      <c r="N26" s="59">
        <v>0</v>
      </c>
      <c r="O26" s="91"/>
      <c r="Q26" s="59"/>
      <c r="R26" s="59"/>
      <c r="S26" s="59"/>
      <c r="T26" s="59">
        <v>-3018000</v>
      </c>
      <c r="U26" s="59">
        <v>3362700</v>
      </c>
      <c r="V26" s="59"/>
      <c r="W26" s="83">
        <f>D26+H26+L26+N26+P26+R26+T26+U26</f>
        <v>-4052850</v>
      </c>
      <c r="X26" s="56"/>
      <c r="Y26" s="69">
        <f>B26+W26</f>
        <v>163224972</v>
      </c>
      <c r="AA26" s="153"/>
    </row>
    <row r="27" spans="1:27" s="35" customFormat="1" ht="15">
      <c r="A27" s="35" t="s">
        <v>18</v>
      </c>
      <c r="B27" s="56">
        <f>'(A) July Revise Budget Summary'!C28</f>
        <v>148796428</v>
      </c>
      <c r="C27" s="56"/>
      <c r="D27" s="89">
        <v>-74040</v>
      </c>
      <c r="E27" s="56"/>
      <c r="F27" s="69">
        <f t="shared" si="0"/>
        <v>148722388</v>
      </c>
      <c r="G27" s="59"/>
      <c r="H27" s="59">
        <v>-3424000</v>
      </c>
      <c r="I27" s="59"/>
      <c r="J27" s="69">
        <f t="shared" si="1"/>
        <v>145298388</v>
      </c>
      <c r="K27" s="59"/>
      <c r="L27" s="59">
        <v>-410000</v>
      </c>
      <c r="M27" s="60"/>
      <c r="N27" s="59">
        <v>62900</v>
      </c>
      <c r="O27" s="91"/>
      <c r="Q27" s="59"/>
      <c r="R27" s="59"/>
      <c r="S27" s="59"/>
      <c r="T27" s="59">
        <v>-1965000</v>
      </c>
      <c r="U27" s="59">
        <v>891900</v>
      </c>
      <c r="V27" s="59"/>
      <c r="W27" s="83">
        <f>D27+H27+L27+N27+P27+R27+T27+U27</f>
        <v>-4918240</v>
      </c>
      <c r="X27" s="56"/>
      <c r="Y27" s="69">
        <f>B27+W27</f>
        <v>143878188</v>
      </c>
      <c r="AA27" s="153"/>
    </row>
    <row r="28" spans="1:27" s="35" customFormat="1" ht="15">
      <c r="A28" s="35" t="s">
        <v>19</v>
      </c>
      <c r="B28" s="56">
        <f>'(A) July Revise Budget Summary'!C29</f>
        <v>67185822</v>
      </c>
      <c r="C28" s="56"/>
      <c r="D28" s="89">
        <v>-27080</v>
      </c>
      <c r="E28" s="56"/>
      <c r="F28" s="69">
        <f t="shared" si="0"/>
        <v>67158742</v>
      </c>
      <c r="G28" s="59"/>
      <c r="H28" s="59">
        <v>-1546000</v>
      </c>
      <c r="I28" s="59"/>
      <c r="J28" s="69">
        <f t="shared" si="1"/>
        <v>65612742</v>
      </c>
      <c r="K28" s="59"/>
      <c r="L28" s="59">
        <v>-185200</v>
      </c>
      <c r="M28" s="60"/>
      <c r="N28" s="59">
        <v>0</v>
      </c>
      <c r="O28" s="91"/>
      <c r="Q28" s="59"/>
      <c r="R28" s="59"/>
      <c r="S28" s="59"/>
      <c r="T28" s="59">
        <v>-870000</v>
      </c>
      <c r="U28" s="59">
        <v>950500</v>
      </c>
      <c r="V28" s="59"/>
      <c r="W28" s="83">
        <f>D28+H28+L28+N28+P28+R28+T28+U28</f>
        <v>-1677780</v>
      </c>
      <c r="X28" s="56"/>
      <c r="Y28" s="69">
        <f>B28+W28</f>
        <v>65508042</v>
      </c>
      <c r="AA28" s="153"/>
    </row>
    <row r="29" spans="1:27" s="35" customFormat="1" ht="15">
      <c r="A29" s="35" t="s">
        <v>20</v>
      </c>
      <c r="B29" s="56">
        <f>'(A) July Revise Budget Summary'!C30</f>
        <v>63925273</v>
      </c>
      <c r="C29" s="56"/>
      <c r="D29" s="89">
        <v>-28700</v>
      </c>
      <c r="E29" s="56"/>
      <c r="F29" s="69">
        <f t="shared" si="0"/>
        <v>63896573</v>
      </c>
      <c r="G29" s="59"/>
      <c r="H29" s="59">
        <v>-1471000</v>
      </c>
      <c r="I29" s="59"/>
      <c r="J29" s="69">
        <f t="shared" si="1"/>
        <v>62425573</v>
      </c>
      <c r="K29" s="59"/>
      <c r="L29" s="59">
        <v>-176200</v>
      </c>
      <c r="M29" s="60"/>
      <c r="N29" s="59">
        <v>768700</v>
      </c>
      <c r="O29" s="91"/>
      <c r="Q29" s="59"/>
      <c r="R29" s="59"/>
      <c r="S29" s="59"/>
      <c r="T29" s="59">
        <v>-834000</v>
      </c>
      <c r="U29" s="59">
        <v>663900</v>
      </c>
      <c r="V29" s="59"/>
      <c r="W29" s="83">
        <f>D29+H29+L29+N29+P29+R29+T29+U29</f>
        <v>-1077300</v>
      </c>
      <c r="X29" s="56"/>
      <c r="Y29" s="69">
        <f>B29+W29</f>
        <v>62847973</v>
      </c>
      <c r="AA29" s="153"/>
    </row>
    <row r="30" spans="1:27" s="35" customFormat="1" ht="15">
      <c r="A30" s="35" t="s">
        <v>21</v>
      </c>
      <c r="B30" s="56">
        <f>'(A) July Revise Budget Summary'!C31</f>
        <v>63303857</v>
      </c>
      <c r="C30" s="56"/>
      <c r="D30" s="89">
        <v>-27220</v>
      </c>
      <c r="E30" s="56"/>
      <c r="F30" s="69">
        <f t="shared" si="0"/>
        <v>63276637</v>
      </c>
      <c r="G30" s="59"/>
      <c r="H30" s="59">
        <v>-1456000</v>
      </c>
      <c r="I30" s="59"/>
      <c r="J30" s="69">
        <f t="shared" si="1"/>
        <v>61820637</v>
      </c>
      <c r="K30" s="59"/>
      <c r="L30" s="59">
        <v>-174500</v>
      </c>
      <c r="M30" s="60"/>
      <c r="N30" s="59">
        <v>0</v>
      </c>
      <c r="O30" s="91"/>
      <c r="Q30" s="59"/>
      <c r="R30" s="59"/>
      <c r="S30" s="59"/>
      <c r="T30" s="59">
        <v>-784000</v>
      </c>
      <c r="U30" s="59">
        <v>1028400</v>
      </c>
      <c r="V30" s="59"/>
      <c r="W30" s="83">
        <f>D30+H30+L30+N30+P30+R30+T30+U30</f>
        <v>-1413320</v>
      </c>
      <c r="X30" s="56"/>
      <c r="Y30" s="69">
        <f>B30+W30</f>
        <v>61890537</v>
      </c>
      <c r="AA30" s="153"/>
    </row>
    <row r="31" spans="2:27" s="35" customFormat="1" ht="9" customHeight="1">
      <c r="B31" s="56"/>
      <c r="C31" s="56"/>
      <c r="D31" s="56"/>
      <c r="E31" s="56"/>
      <c r="F31" s="69"/>
      <c r="G31" s="59"/>
      <c r="H31" s="59"/>
      <c r="I31" s="59"/>
      <c r="J31" s="69"/>
      <c r="K31" s="59"/>
      <c r="L31" s="59"/>
      <c r="M31" s="59"/>
      <c r="N31" s="59"/>
      <c r="O31" s="91"/>
      <c r="P31" s="59"/>
      <c r="Q31" s="59"/>
      <c r="R31" s="59"/>
      <c r="S31" s="59"/>
      <c r="T31" s="59"/>
      <c r="U31" s="59"/>
      <c r="V31" s="59"/>
      <c r="W31" s="83"/>
      <c r="X31" s="56"/>
      <c r="Y31" s="69"/>
      <c r="AA31" s="154"/>
    </row>
    <row r="32" spans="1:27" s="67" customFormat="1" ht="15" customHeight="1">
      <c r="A32" s="52" t="s">
        <v>22</v>
      </c>
      <c r="B32" s="57">
        <f>SUM(B8:B31)</f>
        <v>2720103451</v>
      </c>
      <c r="C32" s="57"/>
      <c r="D32" s="57">
        <f>SUM(D8:D31)</f>
        <v>-1321661</v>
      </c>
      <c r="E32" s="57"/>
      <c r="F32" s="70">
        <f>SUM(F8:F31)</f>
        <v>2718781790</v>
      </c>
      <c r="G32" s="57"/>
      <c r="H32" s="57">
        <f>SUM(H8:H31)</f>
        <v>-62650000</v>
      </c>
      <c r="I32" s="57"/>
      <c r="J32" s="70">
        <f>SUM(J8:J31)</f>
        <v>2656131790</v>
      </c>
      <c r="K32" s="57"/>
      <c r="L32" s="57">
        <f>SUM(L8:L31)</f>
        <v>-7495800</v>
      </c>
      <c r="M32" s="57"/>
      <c r="N32" s="57">
        <f>SUM(N8:N31)</f>
        <v>7495800</v>
      </c>
      <c r="O32" s="93"/>
      <c r="P32" s="57">
        <f>SUM(P8:P31)</f>
        <v>0</v>
      </c>
      <c r="Q32" s="57"/>
      <c r="R32" s="57">
        <f>SUM(R8:R31)</f>
        <v>0</v>
      </c>
      <c r="S32" s="57"/>
      <c r="T32" s="57">
        <f>SUM(T8:T31)</f>
        <v>-42216000</v>
      </c>
      <c r="U32" s="57">
        <f>SUM(U8:U31)</f>
        <v>42392000</v>
      </c>
      <c r="V32" s="57"/>
      <c r="W32" s="84">
        <f>SUM(W8:W31)</f>
        <v>-63795661</v>
      </c>
      <c r="X32" s="66"/>
      <c r="Y32" s="70">
        <f>SUM(Y8:Y31)</f>
        <v>2656307790</v>
      </c>
      <c r="AA32" s="58"/>
    </row>
    <row r="33" spans="2:27" s="35" customFormat="1" ht="9" customHeight="1">
      <c r="B33" s="56"/>
      <c r="C33" s="56"/>
      <c r="D33" s="56"/>
      <c r="E33" s="56"/>
      <c r="F33" s="69"/>
      <c r="G33" s="59"/>
      <c r="H33" s="59"/>
      <c r="I33" s="59"/>
      <c r="J33" s="69"/>
      <c r="K33" s="59"/>
      <c r="L33" s="59"/>
      <c r="M33" s="59"/>
      <c r="N33" s="59"/>
      <c r="O33" s="91"/>
      <c r="P33" s="59"/>
      <c r="Q33" s="59"/>
      <c r="R33" s="59"/>
      <c r="S33" s="59"/>
      <c r="T33" s="59"/>
      <c r="U33" s="59"/>
      <c r="V33" s="59"/>
      <c r="W33" s="83"/>
      <c r="X33" s="56"/>
      <c r="Y33" s="69"/>
      <c r="AA33" s="154"/>
    </row>
    <row r="34" spans="1:27" s="35" customFormat="1" ht="15">
      <c r="A34" s="35" t="s">
        <v>23</v>
      </c>
      <c r="B34" s="56">
        <f>'(A) July Revise Budget Summary'!C35</f>
        <v>75136554</v>
      </c>
      <c r="C34" s="56"/>
      <c r="D34" s="56">
        <f>-28690</f>
        <v>-28690</v>
      </c>
      <c r="E34" s="56"/>
      <c r="F34" s="69">
        <f>B34+D34</f>
        <v>75107864</v>
      </c>
      <c r="G34" s="59"/>
      <c r="H34" s="59">
        <v>-1729000</v>
      </c>
      <c r="I34" s="59"/>
      <c r="J34" s="69">
        <f>F34+H34</f>
        <v>73378864</v>
      </c>
      <c r="K34" s="59"/>
      <c r="L34" s="59">
        <v>0</v>
      </c>
      <c r="M34" s="59"/>
      <c r="N34" s="59">
        <v>0</v>
      </c>
      <c r="O34" s="91"/>
      <c r="P34" s="59">
        <f>2187863+28600</f>
        <v>2216463</v>
      </c>
      <c r="Q34" s="59"/>
      <c r="R34" s="59"/>
      <c r="S34" s="58"/>
      <c r="T34" s="59">
        <v>0</v>
      </c>
      <c r="U34" s="59">
        <v>0</v>
      </c>
      <c r="V34" s="59"/>
      <c r="W34" s="83">
        <f>D34+H34+L34+N34+P34+R34+T34+U34</f>
        <v>458773</v>
      </c>
      <c r="X34" s="56"/>
      <c r="Y34" s="69">
        <f>B34+W34</f>
        <v>75595327</v>
      </c>
      <c r="AA34" s="153"/>
    </row>
    <row r="35" spans="1:27" s="35" customFormat="1" ht="15">
      <c r="A35" s="35" t="s">
        <v>34</v>
      </c>
      <c r="B35" s="56">
        <f>'(A) July Revise Budget Summary'!C36</f>
        <v>1531735</v>
      </c>
      <c r="C35" s="56"/>
      <c r="D35" s="56">
        <v>0</v>
      </c>
      <c r="E35" s="56"/>
      <c r="F35" s="69">
        <f>B35+D35</f>
        <v>1531735</v>
      </c>
      <c r="G35" s="59"/>
      <c r="H35" s="59">
        <v>0</v>
      </c>
      <c r="I35" s="59"/>
      <c r="J35" s="69">
        <f>F35+H35</f>
        <v>1531735</v>
      </c>
      <c r="K35" s="59"/>
      <c r="L35" s="59">
        <v>0</v>
      </c>
      <c r="M35" s="59"/>
      <c r="N35" s="59">
        <v>0</v>
      </c>
      <c r="O35" s="91"/>
      <c r="P35" s="59">
        <v>0</v>
      </c>
      <c r="Q35" s="59"/>
      <c r="R35" s="59"/>
      <c r="S35" s="58"/>
      <c r="T35" s="59">
        <v>-108000</v>
      </c>
      <c r="U35" s="59">
        <v>0</v>
      </c>
      <c r="V35" s="59"/>
      <c r="W35" s="83">
        <f>D35+H35+L35+N35+P35+R35+T35+U35</f>
        <v>-108000</v>
      </c>
      <c r="X35" s="56"/>
      <c r="Y35" s="69">
        <f>B35+W35</f>
        <v>1423735</v>
      </c>
      <c r="AA35" s="153"/>
    </row>
    <row r="36" spans="1:27" s="35" customFormat="1" ht="15">
      <c r="A36" s="35" t="s">
        <v>24</v>
      </c>
      <c r="B36" s="56">
        <f>'(A) July Revise Budget Summary'!C37</f>
        <v>2660496</v>
      </c>
      <c r="C36" s="56"/>
      <c r="D36" s="56">
        <v>0</v>
      </c>
      <c r="E36" s="56"/>
      <c r="F36" s="69">
        <f>B36+D36</f>
        <v>2660496</v>
      </c>
      <c r="G36" s="59"/>
      <c r="H36" s="59">
        <v>0</v>
      </c>
      <c r="I36" s="59"/>
      <c r="J36" s="69">
        <f>F36+H36</f>
        <v>2660496</v>
      </c>
      <c r="K36" s="59"/>
      <c r="L36" s="59">
        <v>0</v>
      </c>
      <c r="M36" s="59"/>
      <c r="N36" s="59">
        <v>0</v>
      </c>
      <c r="O36" s="91"/>
      <c r="P36" s="59">
        <v>0</v>
      </c>
      <c r="Q36" s="59"/>
      <c r="R36" s="59"/>
      <c r="S36" s="58"/>
      <c r="T36" s="59">
        <v>-60000</v>
      </c>
      <c r="U36" s="59">
        <v>0</v>
      </c>
      <c r="V36" s="59"/>
      <c r="W36" s="83">
        <f>D36+H36+L36+N36+P36+R36+T36+U36</f>
        <v>-60000</v>
      </c>
      <c r="X36" s="56"/>
      <c r="Y36" s="69">
        <f>B36+W36</f>
        <v>2600496</v>
      </c>
      <c r="AA36" s="153"/>
    </row>
    <row r="37" spans="1:27" s="35" customFormat="1" ht="15">
      <c r="A37" s="35" t="s">
        <v>25</v>
      </c>
      <c r="B37" s="56">
        <f>'(A) July Revise Budget Summary'!C38</f>
        <v>106800</v>
      </c>
      <c r="C37" s="56"/>
      <c r="D37" s="56">
        <v>0</v>
      </c>
      <c r="E37" s="56"/>
      <c r="F37" s="69">
        <f>B37+D37</f>
        <v>106800</v>
      </c>
      <c r="G37" s="59"/>
      <c r="H37" s="59">
        <v>0</v>
      </c>
      <c r="I37" s="59"/>
      <c r="J37" s="69">
        <f>F37+H37</f>
        <v>106800</v>
      </c>
      <c r="K37" s="59"/>
      <c r="L37" s="59">
        <v>0</v>
      </c>
      <c r="M37" s="59"/>
      <c r="N37" s="59">
        <v>0</v>
      </c>
      <c r="O37" s="91"/>
      <c r="P37" s="59">
        <v>0</v>
      </c>
      <c r="Q37" s="59"/>
      <c r="R37" s="59"/>
      <c r="S37" s="58"/>
      <c r="T37" s="59">
        <v>-8000</v>
      </c>
      <c r="U37" s="59">
        <v>0</v>
      </c>
      <c r="V37" s="59"/>
      <c r="W37" s="83">
        <f>D37+H37+L37+N37+P37+R37+T37+U37</f>
        <v>-8000</v>
      </c>
      <c r="X37" s="56"/>
      <c r="Y37" s="69">
        <f>B37+W37</f>
        <v>98800</v>
      </c>
      <c r="AA37" s="153"/>
    </row>
    <row r="38" spans="1:27" s="35" customFormat="1" ht="18">
      <c r="A38" s="35" t="s">
        <v>26</v>
      </c>
      <c r="B38" s="56">
        <f>'(A) July Revise Budget Summary'!C39</f>
        <v>171166964</v>
      </c>
      <c r="C38" s="56"/>
      <c r="D38" s="56">
        <v>0</v>
      </c>
      <c r="E38" s="56"/>
      <c r="F38" s="69">
        <f>B38+D38</f>
        <v>171166964</v>
      </c>
      <c r="G38" s="59"/>
      <c r="H38" s="59">
        <v>-1924000</v>
      </c>
      <c r="I38" s="59"/>
      <c r="J38" s="69">
        <f>F38+H38</f>
        <v>169242964</v>
      </c>
      <c r="K38" s="59"/>
      <c r="L38" s="59">
        <v>0</v>
      </c>
      <c r="M38" s="59"/>
      <c r="N38" s="59">
        <v>0</v>
      </c>
      <c r="O38" s="92"/>
      <c r="P38" s="59">
        <f>16000-16000+5511000+730000-2187863-28600</f>
        <v>4024537</v>
      </c>
      <c r="Q38" s="59"/>
      <c r="R38" s="59">
        <v>-242000</v>
      </c>
      <c r="S38" s="47"/>
      <c r="T38" s="59">
        <v>0</v>
      </c>
      <c r="U38" s="285">
        <v>0</v>
      </c>
      <c r="V38" s="59"/>
      <c r="W38" s="83">
        <f>D38+H38+L38+N38+P38+R38+T38+U38</f>
        <v>1858537</v>
      </c>
      <c r="X38" s="56"/>
      <c r="Y38" s="69">
        <f>B38+W38</f>
        <v>173025501</v>
      </c>
      <c r="AA38" s="153"/>
    </row>
    <row r="39" spans="2:27" s="35" customFormat="1" ht="9" customHeight="1">
      <c r="B39" s="56"/>
      <c r="C39" s="56"/>
      <c r="D39" s="56"/>
      <c r="E39" s="56"/>
      <c r="F39" s="69"/>
      <c r="G39" s="59"/>
      <c r="H39" s="59"/>
      <c r="I39" s="59"/>
      <c r="J39" s="69"/>
      <c r="K39" s="59"/>
      <c r="L39" s="59"/>
      <c r="M39" s="59"/>
      <c r="N39" s="59"/>
      <c r="O39" s="91"/>
      <c r="P39" s="59"/>
      <c r="Q39" s="59"/>
      <c r="R39" s="59"/>
      <c r="S39" s="59"/>
      <c r="T39" s="59"/>
      <c r="U39" s="59"/>
      <c r="V39" s="59"/>
      <c r="W39" s="83"/>
      <c r="X39" s="56"/>
      <c r="Y39" s="69"/>
      <c r="AA39" s="154"/>
    </row>
    <row r="40" spans="1:27" s="67" customFormat="1" ht="15" customHeight="1" thickBot="1">
      <c r="A40" s="53" t="s">
        <v>27</v>
      </c>
      <c r="B40" s="63">
        <f>SUM(B32:B38)</f>
        <v>2970706000</v>
      </c>
      <c r="C40" s="63"/>
      <c r="D40" s="63">
        <f>SUM(D32:D38)</f>
        <v>-1350351</v>
      </c>
      <c r="E40" s="63"/>
      <c r="F40" s="71">
        <f>SUM(F32:F38)</f>
        <v>2969355649</v>
      </c>
      <c r="G40" s="63"/>
      <c r="H40" s="63">
        <f>SUM(H32:H38)</f>
        <v>-66303000</v>
      </c>
      <c r="I40" s="63"/>
      <c r="J40" s="71">
        <f>SUM(J32:J38)</f>
        <v>2903052649</v>
      </c>
      <c r="K40" s="63"/>
      <c r="L40" s="63">
        <f>SUM(L32:L38)</f>
        <v>-7495800</v>
      </c>
      <c r="M40" s="63"/>
      <c r="N40" s="63">
        <f>SUM(N32:N38)</f>
        <v>7495800</v>
      </c>
      <c r="O40" s="90"/>
      <c r="P40" s="63">
        <f>SUM(P32:P38)</f>
        <v>6241000</v>
      </c>
      <c r="Q40" s="63"/>
      <c r="R40" s="63">
        <f>SUM(R32:R38)</f>
        <v>-242000</v>
      </c>
      <c r="S40" s="63"/>
      <c r="T40" s="63">
        <f>SUM(T32:T38)</f>
        <v>-42392000</v>
      </c>
      <c r="U40" s="63">
        <f>SUM(U32:U38)</f>
        <v>42392000</v>
      </c>
      <c r="V40" s="63"/>
      <c r="W40" s="284">
        <f>SUM(W32:W38)</f>
        <v>-61654351</v>
      </c>
      <c r="X40" s="63"/>
      <c r="Y40" s="71">
        <f>SUM(Y32:Y38)</f>
        <v>2909051649</v>
      </c>
      <c r="AA40" s="58"/>
    </row>
    <row r="41" spans="9:20" ht="12.75">
      <c r="I41" s="39"/>
      <c r="J41" s="39"/>
      <c r="K41" s="39"/>
      <c r="L41" s="39"/>
      <c r="M41" s="39"/>
      <c r="N41" s="39"/>
      <c r="O41" s="39"/>
      <c r="P41" s="39"/>
      <c r="Q41" s="39"/>
      <c r="T41" s="62"/>
    </row>
    <row r="42" spans="1:25" ht="31.5" customHeight="1">
      <c r="A42" s="324" t="s">
        <v>171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</row>
  </sheetData>
  <sheetProtection/>
  <mergeCells count="2">
    <mergeCell ref="N6:O6"/>
    <mergeCell ref="A42:Y42"/>
  </mergeCells>
  <printOptions/>
  <pageMargins left="0.25" right="0.25" top="0.25" bottom="0.25" header="0.5" footer="0.5"/>
  <pageSetup fitToHeight="1" fitToWidth="1" horizontalDpi="600" verticalDpi="600" orientation="landscape" paperSize="5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0" sqref="AB10"/>
    </sheetView>
  </sheetViews>
  <sheetFormatPr defaultColWidth="9.33203125" defaultRowHeight="12.75"/>
  <cols>
    <col min="1" max="1" width="24.5" style="1" customWidth="1"/>
    <col min="2" max="2" width="1.5" style="25" customWidth="1"/>
    <col min="3" max="3" width="19.16015625" style="25" customWidth="1"/>
    <col min="4" max="4" width="1.83203125" style="25" customWidth="1"/>
    <col min="5" max="5" width="17.16015625" style="25" bestFit="1" customWidth="1"/>
    <col min="6" max="6" width="1.83203125" style="25" customWidth="1"/>
    <col min="7" max="7" width="17.66015625" style="25" customWidth="1"/>
    <col min="8" max="8" width="1.83203125" style="25" customWidth="1"/>
    <col min="9" max="9" width="17.5" style="25" customWidth="1"/>
    <col min="10" max="10" width="1.83203125" style="25" customWidth="1"/>
    <col min="11" max="11" width="18.66015625" style="25" customWidth="1"/>
    <col min="12" max="12" width="1.83203125" style="25" customWidth="1"/>
    <col min="13" max="13" width="17" style="0" customWidth="1"/>
    <col min="14" max="14" width="1.66796875" style="0" customWidth="1"/>
    <col min="15" max="15" width="15.66015625" style="0" bestFit="1" customWidth="1"/>
    <col min="16" max="16" width="1.66796875" style="0" customWidth="1"/>
    <col min="17" max="17" width="16.16015625" style="1" customWidth="1"/>
    <col min="18" max="18" width="1.83203125" style="1" customWidth="1"/>
    <col min="19" max="19" width="17.16015625" style="1" bestFit="1" customWidth="1"/>
    <col min="20" max="20" width="1.83203125" style="1" customWidth="1"/>
    <col min="21" max="21" width="20" style="1" customWidth="1"/>
    <col min="22" max="22" width="18.83203125" style="1" customWidth="1"/>
    <col min="23" max="16384" width="9.33203125" style="1" customWidth="1"/>
  </cols>
  <sheetData>
    <row r="1" spans="1:12" ht="16.5" customHeight="1">
      <c r="A1" s="265" t="s">
        <v>162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6" ht="15" customHeight="1">
      <c r="A2" s="72"/>
      <c r="B2" s="95"/>
      <c r="C2" s="95"/>
      <c r="D2" s="95"/>
      <c r="F2" s="80"/>
    </row>
    <row r="3" spans="2:22" s="78" customFormat="1" ht="14.25" customHeight="1">
      <c r="B3" s="79"/>
      <c r="C3" s="79">
        <f>-1</f>
        <v>-1</v>
      </c>
      <c r="D3" s="79"/>
      <c r="E3" s="79">
        <v>-2</v>
      </c>
      <c r="F3" s="79"/>
      <c r="G3" s="79">
        <v>-3</v>
      </c>
      <c r="H3" s="79"/>
      <c r="I3" s="79">
        <v>-4</v>
      </c>
      <c r="J3" s="79"/>
      <c r="K3" s="80">
        <v>-5</v>
      </c>
      <c r="M3" s="80">
        <v>-6</v>
      </c>
      <c r="O3" s="80">
        <v>-7</v>
      </c>
      <c r="P3" s="79"/>
      <c r="Q3" s="79">
        <v>-8</v>
      </c>
      <c r="S3" s="79">
        <v>-9</v>
      </c>
      <c r="U3" s="80">
        <v>-10</v>
      </c>
      <c r="V3" s="80"/>
    </row>
    <row r="4" spans="2:22" s="26" customFormat="1" ht="6" customHeight="1">
      <c r="B4" s="34"/>
      <c r="C4" s="34"/>
      <c r="D4" s="34"/>
      <c r="S4" s="102"/>
      <c r="U4" s="27"/>
      <c r="V4" s="27"/>
    </row>
    <row r="5" spans="1:22" s="16" customFormat="1" ht="80.25" customHeight="1">
      <c r="A5" s="40"/>
      <c r="B5" s="46"/>
      <c r="C5" s="272" t="s">
        <v>144</v>
      </c>
      <c r="D5" s="29"/>
      <c r="E5" s="81" t="s">
        <v>140</v>
      </c>
      <c r="G5" s="81" t="s">
        <v>46</v>
      </c>
      <c r="H5" s="81"/>
      <c r="I5" s="81" t="s">
        <v>172</v>
      </c>
      <c r="J5" s="81"/>
      <c r="K5" s="272" t="s">
        <v>166</v>
      </c>
      <c r="L5" s="81"/>
      <c r="M5" s="46" t="s">
        <v>102</v>
      </c>
      <c r="N5" s="46"/>
      <c r="O5" s="28" t="s">
        <v>145</v>
      </c>
      <c r="P5" s="46"/>
      <c r="Q5" s="28" t="s">
        <v>148</v>
      </c>
      <c r="R5" s="28"/>
      <c r="S5" s="101" t="s">
        <v>165</v>
      </c>
      <c r="T5" s="40"/>
      <c r="U5" s="101" t="s">
        <v>174</v>
      </c>
      <c r="V5" s="317"/>
    </row>
    <row r="6" spans="1:22" ht="12.75">
      <c r="A6" s="42"/>
      <c r="B6" s="44"/>
      <c r="C6" s="37"/>
      <c r="D6" s="44"/>
      <c r="E6" s="1"/>
      <c r="F6" s="1"/>
      <c r="G6" s="1"/>
      <c r="H6" s="1"/>
      <c r="I6" s="297" t="s">
        <v>155</v>
      </c>
      <c r="J6" s="1"/>
      <c r="K6" s="290" t="s">
        <v>149</v>
      </c>
      <c r="L6" s="1"/>
      <c r="M6" s="44"/>
      <c r="N6" s="44"/>
      <c r="O6" s="1"/>
      <c r="P6" s="44"/>
      <c r="S6" s="37" t="s">
        <v>150</v>
      </c>
      <c r="T6" s="42"/>
      <c r="U6" s="37" t="s">
        <v>151</v>
      </c>
      <c r="V6" s="44"/>
    </row>
    <row r="7" spans="1:22" ht="9" customHeight="1">
      <c r="A7" s="42"/>
      <c r="B7" s="43"/>
      <c r="C7" s="45"/>
      <c r="D7" s="42"/>
      <c r="E7" s="1"/>
      <c r="F7" s="1"/>
      <c r="G7" s="1"/>
      <c r="H7" s="1"/>
      <c r="I7" s="1"/>
      <c r="J7" s="1"/>
      <c r="K7" s="291"/>
      <c r="L7" s="1"/>
      <c r="M7" s="44"/>
      <c r="N7" s="44"/>
      <c r="O7" s="1"/>
      <c r="P7" s="44"/>
      <c r="S7" s="45"/>
      <c r="T7" s="42"/>
      <c r="U7" s="45"/>
      <c r="V7" s="42"/>
    </row>
    <row r="8" spans="1:22" s="67" customFormat="1" ht="15">
      <c r="A8" s="67" t="s">
        <v>0</v>
      </c>
      <c r="B8" s="58"/>
      <c r="C8" s="68">
        <f>'(B) Feb SBX3_1 Base Bud Adj-rev'!Y8</f>
        <v>60301022</v>
      </c>
      <c r="D8" s="61"/>
      <c r="E8" s="67">
        <v>-1559000</v>
      </c>
      <c r="G8" s="67">
        <v>1906700</v>
      </c>
      <c r="I8" s="67">
        <f>E8+G8</f>
        <v>347700</v>
      </c>
      <c r="K8" s="292">
        <f>C8+I8</f>
        <v>60648722</v>
      </c>
      <c r="M8" s="58">
        <v>-1096400</v>
      </c>
      <c r="N8" s="58"/>
      <c r="O8" s="67">
        <v>-5633200</v>
      </c>
      <c r="P8" s="58"/>
      <c r="Q8" s="67">
        <v>-4059300</v>
      </c>
      <c r="S8" s="82">
        <f>M8+O8+Q8</f>
        <v>-10788900</v>
      </c>
      <c r="T8" s="61"/>
      <c r="U8" s="68">
        <f>K8+S8</f>
        <v>49859822</v>
      </c>
      <c r="V8" s="58"/>
    </row>
    <row r="9" spans="1:22" s="35" customFormat="1" ht="15">
      <c r="A9" s="35" t="s">
        <v>1</v>
      </c>
      <c r="B9" s="59"/>
      <c r="C9" s="69">
        <f>'(B) Feb SBX3_1 Base Bud Adj-rev'!Y9</f>
        <v>42681653</v>
      </c>
      <c r="D9" s="56"/>
      <c r="E9" s="35">
        <v>-621000</v>
      </c>
      <c r="G9" s="35">
        <v>510400</v>
      </c>
      <c r="I9" s="35">
        <f>E9+G9</f>
        <v>-110600</v>
      </c>
      <c r="K9" s="293">
        <f>C9+I9</f>
        <v>42571053</v>
      </c>
      <c r="M9" s="59">
        <v>-770500</v>
      </c>
      <c r="N9" s="59"/>
      <c r="O9" s="35">
        <v>-3987200</v>
      </c>
      <c r="P9" s="59"/>
      <c r="Q9" s="35">
        <v>307500</v>
      </c>
      <c r="S9" s="83">
        <f>M9+O9+Q9</f>
        <v>-4450200</v>
      </c>
      <c r="T9" s="61"/>
      <c r="U9" s="69">
        <f>K9+S9</f>
        <v>38120853</v>
      </c>
      <c r="V9" s="59"/>
    </row>
    <row r="10" spans="1:22" s="35" customFormat="1" ht="15">
      <c r="A10" s="35" t="s">
        <v>2</v>
      </c>
      <c r="B10" s="59"/>
      <c r="C10" s="69">
        <f>'(B) Feb SBX3_1 Base Bud Adj-rev'!Y10</f>
        <v>116191202</v>
      </c>
      <c r="D10" s="56"/>
      <c r="E10" s="35">
        <v>-3161000</v>
      </c>
      <c r="G10" s="35">
        <v>2726700</v>
      </c>
      <c r="I10" s="35">
        <f aca="true" t="shared" si="0" ref="I10:I30">E10+G10</f>
        <v>-434300</v>
      </c>
      <c r="K10" s="293">
        <f aca="true" t="shared" si="1" ref="K10:K30">C10+I10</f>
        <v>115756902</v>
      </c>
      <c r="M10" s="59">
        <v>-2146400</v>
      </c>
      <c r="N10" s="59"/>
      <c r="O10" s="35">
        <v>-10854300</v>
      </c>
      <c r="P10" s="59"/>
      <c r="Q10" s="35">
        <v>-12568100</v>
      </c>
      <c r="S10" s="83">
        <f>M10+O10+Q10</f>
        <v>-25568800</v>
      </c>
      <c r="T10" s="61"/>
      <c r="U10" s="69">
        <f>K10+S10</f>
        <v>90188102</v>
      </c>
      <c r="V10" s="59"/>
    </row>
    <row r="11" spans="1:22" s="35" customFormat="1" ht="15">
      <c r="A11" s="35" t="s">
        <v>3</v>
      </c>
      <c r="B11" s="59"/>
      <c r="C11" s="69">
        <f>'(B) Feb SBX3_1 Base Bud Adj-rev'!Y11</f>
        <v>73061982</v>
      </c>
      <c r="D11" s="56"/>
      <c r="E11" s="35">
        <v>-2307000</v>
      </c>
      <c r="G11" s="35">
        <v>3553300</v>
      </c>
      <c r="I11" s="35">
        <f t="shared" si="0"/>
        <v>1246300</v>
      </c>
      <c r="K11" s="293">
        <f t="shared" si="1"/>
        <v>74308282</v>
      </c>
      <c r="M11" s="59">
        <v>-1287800</v>
      </c>
      <c r="N11" s="59"/>
      <c r="O11" s="35">
        <v>-6825300</v>
      </c>
      <c r="P11" s="59"/>
      <c r="Q11" s="35">
        <v>-4921900</v>
      </c>
      <c r="S11" s="83">
        <f>M11+O11+Q11</f>
        <v>-13035000</v>
      </c>
      <c r="T11" s="61"/>
      <c r="U11" s="69">
        <f>K11+S11</f>
        <v>61273282</v>
      </c>
      <c r="V11" s="59"/>
    </row>
    <row r="12" spans="1:22" s="35" customFormat="1" ht="15">
      <c r="A12" s="35" t="s">
        <v>29</v>
      </c>
      <c r="B12" s="59"/>
      <c r="C12" s="69">
        <f>'(B) Feb SBX3_1 Base Bud Adj-rev'!Y12</f>
        <v>87537921</v>
      </c>
      <c r="D12" s="56"/>
      <c r="E12" s="35">
        <v>-2535000</v>
      </c>
      <c r="G12" s="35">
        <v>2477800</v>
      </c>
      <c r="I12" s="35">
        <f t="shared" si="0"/>
        <v>-57200</v>
      </c>
      <c r="K12" s="293">
        <f t="shared" si="1"/>
        <v>87480721</v>
      </c>
      <c r="M12" s="59">
        <v>-1607200</v>
      </c>
      <c r="N12" s="59"/>
      <c r="O12" s="35">
        <v>-8177600</v>
      </c>
      <c r="P12" s="59"/>
      <c r="Q12" s="35">
        <v>-9838300</v>
      </c>
      <c r="S12" s="83">
        <f>M12+O12+Q12</f>
        <v>-19623100</v>
      </c>
      <c r="T12" s="61"/>
      <c r="U12" s="69">
        <f>K12+S12</f>
        <v>67857621</v>
      </c>
      <c r="V12" s="59"/>
    </row>
    <row r="13" spans="1:22" s="35" customFormat="1" ht="15">
      <c r="A13" s="35" t="s">
        <v>4</v>
      </c>
      <c r="B13" s="59"/>
      <c r="C13" s="69">
        <f>'(B) Feb SBX3_1 Base Bud Adj-rev'!Y13</f>
        <v>150257502</v>
      </c>
      <c r="D13" s="56"/>
      <c r="E13" s="35">
        <v>-4144000</v>
      </c>
      <c r="G13" s="35">
        <v>4578100</v>
      </c>
      <c r="I13" s="35">
        <f t="shared" si="0"/>
        <v>434100</v>
      </c>
      <c r="K13" s="293">
        <f t="shared" si="1"/>
        <v>150691602</v>
      </c>
      <c r="M13" s="59">
        <v>-2749900</v>
      </c>
      <c r="N13" s="59"/>
      <c r="O13" s="35">
        <v>-14036700</v>
      </c>
      <c r="P13" s="59"/>
      <c r="Q13" s="35">
        <v>-15849600</v>
      </c>
      <c r="S13" s="83">
        <f>M13+O13+Q13</f>
        <v>-32636200</v>
      </c>
      <c r="T13" s="61"/>
      <c r="U13" s="69">
        <f>K13+S13</f>
        <v>118055402</v>
      </c>
      <c r="V13" s="59"/>
    </row>
    <row r="14" spans="1:22" s="35" customFormat="1" ht="15">
      <c r="A14" s="35" t="s">
        <v>5</v>
      </c>
      <c r="B14" s="59"/>
      <c r="C14" s="69">
        <f>'(B) Feb SBX3_1 Base Bud Adj-rev'!Y14</f>
        <v>175841837</v>
      </c>
      <c r="D14" s="56"/>
      <c r="E14" s="35">
        <v>-6342000</v>
      </c>
      <c r="G14" s="35">
        <v>5675500</v>
      </c>
      <c r="I14" s="35">
        <f t="shared" si="0"/>
        <v>-666500</v>
      </c>
      <c r="K14" s="293">
        <f t="shared" si="1"/>
        <v>175175337</v>
      </c>
      <c r="M14" s="59">
        <v>-3218300</v>
      </c>
      <c r="N14" s="59"/>
      <c r="O14" s="35">
        <v>-16426600</v>
      </c>
      <c r="P14" s="59"/>
      <c r="Q14" s="35">
        <v>-19158900</v>
      </c>
      <c r="S14" s="83">
        <f>M14+O14+Q14</f>
        <v>-38803800</v>
      </c>
      <c r="T14" s="61"/>
      <c r="U14" s="69">
        <f>K14+S14</f>
        <v>136371537</v>
      </c>
      <c r="V14" s="59"/>
    </row>
    <row r="15" spans="1:22" s="35" customFormat="1" ht="15">
      <c r="A15" s="35" t="s">
        <v>6</v>
      </c>
      <c r="B15" s="59"/>
      <c r="C15" s="69">
        <f>'(B) Feb SBX3_1 Base Bud Adj-rev'!Y15</f>
        <v>74094010</v>
      </c>
      <c r="D15" s="56"/>
      <c r="E15" s="35">
        <v>-1528000</v>
      </c>
      <c r="G15" s="35">
        <v>1980700</v>
      </c>
      <c r="I15" s="35">
        <f t="shared" si="0"/>
        <v>452700</v>
      </c>
      <c r="K15" s="293">
        <f t="shared" si="1"/>
        <v>74546710</v>
      </c>
      <c r="M15" s="59">
        <v>-1364500</v>
      </c>
      <c r="N15" s="59"/>
      <c r="O15" s="35">
        <v>-6921700</v>
      </c>
      <c r="P15" s="59"/>
      <c r="Q15" s="35">
        <v>-3824400</v>
      </c>
      <c r="S15" s="83">
        <f>M15+O15+Q15</f>
        <v>-12110600</v>
      </c>
      <c r="T15" s="61"/>
      <c r="U15" s="69">
        <f>K15+S15</f>
        <v>62436110</v>
      </c>
      <c r="V15" s="59"/>
    </row>
    <row r="16" spans="1:22" s="35" customFormat="1" ht="15">
      <c r="A16" s="35" t="s">
        <v>7</v>
      </c>
      <c r="B16" s="59"/>
      <c r="C16" s="69">
        <f>'(B) Feb SBX3_1 Base Bud Adj-rev'!Y16</f>
        <v>198537178</v>
      </c>
      <c r="D16" s="56"/>
      <c r="E16" s="35">
        <v>-6521000</v>
      </c>
      <c r="G16" s="35">
        <v>6633700</v>
      </c>
      <c r="I16" s="35">
        <f t="shared" si="0"/>
        <v>112700</v>
      </c>
      <c r="K16" s="293">
        <f t="shared" si="1"/>
        <v>198649878</v>
      </c>
      <c r="M16" s="59">
        <v>-3667500</v>
      </c>
      <c r="N16" s="59"/>
      <c r="O16" s="35">
        <v>-18546900</v>
      </c>
      <c r="P16" s="59"/>
      <c r="Q16" s="35">
        <v>-21862200</v>
      </c>
      <c r="S16" s="83">
        <f>M16+O16+Q16</f>
        <v>-44076600</v>
      </c>
      <c r="T16" s="61"/>
      <c r="U16" s="69">
        <f>K16+S16</f>
        <v>154573278</v>
      </c>
      <c r="V16" s="59"/>
    </row>
    <row r="17" spans="1:22" s="35" customFormat="1" ht="15">
      <c r="A17" s="35" t="s">
        <v>8</v>
      </c>
      <c r="B17" s="59"/>
      <c r="C17" s="69">
        <f>'(B) Feb SBX3_1 Base Bud Adj-rev'!Y17</f>
        <v>131015279</v>
      </c>
      <c r="D17" s="56"/>
      <c r="E17" s="35">
        <v>-3909000</v>
      </c>
      <c r="G17" s="35">
        <v>5478300</v>
      </c>
      <c r="I17" s="35">
        <f t="shared" si="0"/>
        <v>1569300</v>
      </c>
      <c r="K17" s="293">
        <f t="shared" si="1"/>
        <v>132584579</v>
      </c>
      <c r="M17" s="59">
        <v>-2382600</v>
      </c>
      <c r="N17" s="59"/>
      <c r="O17" s="35">
        <v>-12239000</v>
      </c>
      <c r="P17" s="59"/>
      <c r="Q17" s="35">
        <v>-14375900</v>
      </c>
      <c r="S17" s="83">
        <f>M17+O17+Q17</f>
        <v>-28997500</v>
      </c>
      <c r="T17" s="61"/>
      <c r="U17" s="69">
        <f>K17+S17</f>
        <v>103587079</v>
      </c>
      <c r="V17" s="59"/>
    </row>
    <row r="18" spans="1:22" s="35" customFormat="1" ht="15">
      <c r="A18" s="35" t="s">
        <v>9</v>
      </c>
      <c r="B18" s="59"/>
      <c r="C18" s="69">
        <f>'(B) Feb SBX3_1 Base Bud Adj-rev'!Y18</f>
        <v>18498911</v>
      </c>
      <c r="D18" s="56"/>
      <c r="E18" s="35">
        <v>-161000</v>
      </c>
      <c r="G18" s="35">
        <v>106400</v>
      </c>
      <c r="I18" s="35">
        <f t="shared" si="0"/>
        <v>-54600</v>
      </c>
      <c r="K18" s="293">
        <f t="shared" si="1"/>
        <v>18444311</v>
      </c>
      <c r="M18" s="59">
        <v>-340500</v>
      </c>
      <c r="N18" s="59"/>
      <c r="O18" s="35">
        <v>-1728100</v>
      </c>
      <c r="P18" s="59"/>
      <c r="Q18" s="35">
        <v>96300</v>
      </c>
      <c r="S18" s="83">
        <f>M18+O18+Q18</f>
        <v>-1972300</v>
      </c>
      <c r="T18" s="61"/>
      <c r="U18" s="69">
        <f>K18+S18</f>
        <v>16472011</v>
      </c>
      <c r="V18" s="59"/>
    </row>
    <row r="19" spans="1:22" s="35" customFormat="1" ht="15">
      <c r="A19" s="35" t="s">
        <v>10</v>
      </c>
      <c r="B19" s="59"/>
      <c r="C19" s="69">
        <f>'(B) Feb SBX3_1 Base Bud Adj-rev'!Y19</f>
        <v>52041103</v>
      </c>
      <c r="D19" s="56"/>
      <c r="E19" s="35">
        <v>-842000</v>
      </c>
      <c r="G19" s="35">
        <v>841000</v>
      </c>
      <c r="I19" s="35">
        <f t="shared" si="0"/>
        <v>-1000</v>
      </c>
      <c r="K19" s="293">
        <f t="shared" si="1"/>
        <v>52040103</v>
      </c>
      <c r="M19" s="59">
        <v>-949200</v>
      </c>
      <c r="N19" s="59"/>
      <c r="O19" s="35">
        <v>-4861600</v>
      </c>
      <c r="P19" s="59"/>
      <c r="Q19" s="35">
        <v>-167500</v>
      </c>
      <c r="S19" s="83">
        <f>M19+O19+Q19</f>
        <v>-5978300</v>
      </c>
      <c r="T19" s="61"/>
      <c r="U19" s="69">
        <f>K19+S19</f>
        <v>46061803</v>
      </c>
      <c r="V19" s="59"/>
    </row>
    <row r="20" spans="1:22" s="35" customFormat="1" ht="15">
      <c r="A20" s="35" t="s">
        <v>11</v>
      </c>
      <c r="B20" s="59"/>
      <c r="C20" s="69">
        <f>'(B) Feb SBX3_1 Base Bud Adj-rev'!Y20</f>
        <v>190590316</v>
      </c>
      <c r="D20" s="56"/>
      <c r="E20" s="35">
        <v>-6263000</v>
      </c>
      <c r="G20" s="35">
        <v>6730600</v>
      </c>
      <c r="I20" s="35">
        <f t="shared" si="0"/>
        <v>467600</v>
      </c>
      <c r="K20" s="293">
        <f t="shared" si="1"/>
        <v>191057916</v>
      </c>
      <c r="M20" s="59">
        <v>-3476600</v>
      </c>
      <c r="N20" s="59"/>
      <c r="O20" s="35">
        <v>-17804400</v>
      </c>
      <c r="P20" s="59"/>
      <c r="Q20" s="35">
        <v>-21058600</v>
      </c>
      <c r="S20" s="83">
        <f>M20+O20+Q20</f>
        <v>-42339600</v>
      </c>
      <c r="T20" s="61"/>
      <c r="U20" s="69">
        <f>K20+S20</f>
        <v>148718316</v>
      </c>
      <c r="V20" s="59"/>
    </row>
    <row r="21" spans="1:22" s="35" customFormat="1" ht="15">
      <c r="A21" s="35" t="s">
        <v>12</v>
      </c>
      <c r="B21" s="59"/>
      <c r="C21" s="69">
        <f>'(B) Feb SBX3_1 Base Bud Adj-rev'!Y21</f>
        <v>141483922</v>
      </c>
      <c r="D21" s="56"/>
      <c r="E21" s="35">
        <v>-3979000</v>
      </c>
      <c r="G21" s="35">
        <v>3875500</v>
      </c>
      <c r="I21" s="35">
        <f t="shared" si="0"/>
        <v>-103500</v>
      </c>
      <c r="K21" s="293">
        <f t="shared" si="1"/>
        <v>141380422</v>
      </c>
      <c r="M21" s="59">
        <v>-2611900</v>
      </c>
      <c r="N21" s="59"/>
      <c r="O21" s="35">
        <v>-13217200</v>
      </c>
      <c r="P21" s="59"/>
      <c r="Q21" s="35">
        <v>-15450200</v>
      </c>
      <c r="S21" s="83">
        <f>M21+O21+Q21</f>
        <v>-31279300</v>
      </c>
      <c r="T21" s="61"/>
      <c r="U21" s="69">
        <f>K21+S21</f>
        <v>110101122</v>
      </c>
      <c r="V21" s="59"/>
    </row>
    <row r="22" spans="1:22" s="35" customFormat="1" ht="15">
      <c r="A22" s="35" t="s">
        <v>13</v>
      </c>
      <c r="B22" s="59"/>
      <c r="C22" s="69">
        <f>'(B) Feb SBX3_1 Base Bud Adj-rev'!Y22</f>
        <v>161426717</v>
      </c>
      <c r="D22" s="56"/>
      <c r="E22" s="35">
        <v>-5234000</v>
      </c>
      <c r="G22" s="35">
        <v>5208700</v>
      </c>
      <c r="I22" s="35">
        <f t="shared" si="0"/>
        <v>-25300</v>
      </c>
      <c r="K22" s="293">
        <f t="shared" si="1"/>
        <v>161401417</v>
      </c>
      <c r="M22" s="59">
        <v>-2963800</v>
      </c>
      <c r="N22" s="59"/>
      <c r="O22" s="35">
        <v>-15079900</v>
      </c>
      <c r="P22" s="59"/>
      <c r="Q22" s="35">
        <v>-17269900</v>
      </c>
      <c r="S22" s="83">
        <f>M22+O22+Q22</f>
        <v>-35313600</v>
      </c>
      <c r="T22" s="61"/>
      <c r="U22" s="69">
        <f>K22+S22</f>
        <v>126087817</v>
      </c>
      <c r="V22" s="59"/>
    </row>
    <row r="23" spans="1:22" s="35" customFormat="1" ht="15">
      <c r="A23" s="35" t="s">
        <v>14</v>
      </c>
      <c r="B23" s="59"/>
      <c r="C23" s="69">
        <f>'(B) Feb SBX3_1 Base Bud Adj-rev'!Y23</f>
        <v>104935458</v>
      </c>
      <c r="D23" s="56"/>
      <c r="E23" s="35">
        <v>-3271000</v>
      </c>
      <c r="G23" s="35">
        <v>4478600</v>
      </c>
      <c r="I23" s="35">
        <f t="shared" si="0"/>
        <v>1207600</v>
      </c>
      <c r="K23" s="293">
        <f t="shared" si="1"/>
        <v>106143058</v>
      </c>
      <c r="M23" s="59">
        <v>-1905900</v>
      </c>
      <c r="N23" s="59"/>
      <c r="O23" s="35">
        <v>-9802700</v>
      </c>
      <c r="P23" s="59"/>
      <c r="Q23" s="35">
        <v>-11301000</v>
      </c>
      <c r="S23" s="83">
        <f>M23+O23+Q23</f>
        <v>-23009600</v>
      </c>
      <c r="T23" s="61"/>
      <c r="U23" s="69">
        <f>K23+S23</f>
        <v>83133458</v>
      </c>
      <c r="V23" s="59"/>
    </row>
    <row r="24" spans="1:22" s="35" customFormat="1" ht="15">
      <c r="A24" s="35" t="s">
        <v>15</v>
      </c>
      <c r="B24" s="59"/>
      <c r="C24" s="69">
        <f>'(B) Feb SBX3_1 Base Bud Adj-rev'!Y24</f>
        <v>214936416</v>
      </c>
      <c r="D24" s="56"/>
      <c r="E24" s="35">
        <v>-6324000</v>
      </c>
      <c r="G24" s="35">
        <v>5320200</v>
      </c>
      <c r="I24" s="35">
        <f t="shared" si="0"/>
        <v>-1003800</v>
      </c>
      <c r="K24" s="293">
        <f t="shared" si="1"/>
        <v>213932616</v>
      </c>
      <c r="M24" s="59">
        <v>-3961100</v>
      </c>
      <c r="N24" s="59"/>
      <c r="O24" s="35">
        <v>-20078700</v>
      </c>
      <c r="P24" s="59"/>
      <c r="Q24" s="35">
        <v>-23785700</v>
      </c>
      <c r="S24" s="83">
        <f>M24+O24+Q24</f>
        <v>-47825500</v>
      </c>
      <c r="T24" s="61"/>
      <c r="U24" s="69">
        <f>K24+S24</f>
        <v>166107116</v>
      </c>
      <c r="V24" s="59"/>
    </row>
    <row r="25" spans="1:22" s="35" customFormat="1" ht="15">
      <c r="A25" s="35" t="s">
        <v>16</v>
      </c>
      <c r="B25" s="59"/>
      <c r="C25" s="69">
        <f>'(B) Feb SBX3_1 Base Bud Adj-rev'!Y25</f>
        <v>165525649</v>
      </c>
      <c r="D25" s="56"/>
      <c r="E25" s="35">
        <v>-5397000</v>
      </c>
      <c r="G25" s="35">
        <v>5705800</v>
      </c>
      <c r="I25" s="35">
        <f t="shared" si="0"/>
        <v>308800</v>
      </c>
      <c r="K25" s="293">
        <f t="shared" si="1"/>
        <v>165834449</v>
      </c>
      <c r="M25" s="59">
        <v>-3056900</v>
      </c>
      <c r="N25" s="59"/>
      <c r="O25" s="35">
        <v>-15462900</v>
      </c>
      <c r="P25" s="59"/>
      <c r="Q25" s="35">
        <v>-18638500</v>
      </c>
      <c r="S25" s="83">
        <f>M25+O25+Q25</f>
        <v>-37158300</v>
      </c>
      <c r="T25" s="61"/>
      <c r="U25" s="69">
        <f>K25+S25</f>
        <v>128676149</v>
      </c>
      <c r="V25" s="59"/>
    </row>
    <row r="26" spans="1:22" s="35" customFormat="1" ht="15">
      <c r="A26" s="35" t="s">
        <v>17</v>
      </c>
      <c r="B26" s="59"/>
      <c r="C26" s="69">
        <f>'(B) Feb SBX3_1 Base Bud Adj-rev'!Y26</f>
        <v>163224972</v>
      </c>
      <c r="D26" s="56"/>
      <c r="E26" s="35">
        <v>-5696000</v>
      </c>
      <c r="G26" s="35">
        <v>4373200</v>
      </c>
      <c r="I26" s="35">
        <f t="shared" si="0"/>
        <v>-1322800</v>
      </c>
      <c r="K26" s="293">
        <f t="shared" si="1"/>
        <v>161902172</v>
      </c>
      <c r="M26" s="59">
        <v>-2994600</v>
      </c>
      <c r="N26" s="59"/>
      <c r="O26" s="35">
        <v>-15248000</v>
      </c>
      <c r="P26" s="59"/>
      <c r="Q26" s="35">
        <v>-18548100</v>
      </c>
      <c r="S26" s="83">
        <f>M26+O26+Q26</f>
        <v>-36790700</v>
      </c>
      <c r="T26" s="61"/>
      <c r="U26" s="69">
        <f>K26+S26</f>
        <v>125111472</v>
      </c>
      <c r="V26" s="59"/>
    </row>
    <row r="27" spans="1:22" s="35" customFormat="1" ht="15">
      <c r="A27" s="35" t="s">
        <v>18</v>
      </c>
      <c r="B27" s="59"/>
      <c r="C27" s="69">
        <f>'(B) Feb SBX3_1 Base Bud Adj-rev'!Y27</f>
        <v>143878188</v>
      </c>
      <c r="D27" s="56"/>
      <c r="E27" s="35">
        <v>-3709000</v>
      </c>
      <c r="G27" s="35">
        <v>1875500</v>
      </c>
      <c r="I27" s="35">
        <f t="shared" si="0"/>
        <v>-1833500</v>
      </c>
      <c r="K27" s="293">
        <f t="shared" si="1"/>
        <v>142044688</v>
      </c>
      <c r="M27" s="59">
        <v>-2663800</v>
      </c>
      <c r="N27" s="59"/>
      <c r="O27" s="35">
        <v>-13440800</v>
      </c>
      <c r="P27" s="59"/>
      <c r="Q27" s="35">
        <v>-15650800</v>
      </c>
      <c r="S27" s="83">
        <f>M27+O27+Q27</f>
        <v>-31755400</v>
      </c>
      <c r="T27" s="61"/>
      <c r="U27" s="69">
        <f>K27+S27</f>
        <v>110289288</v>
      </c>
      <c r="V27" s="59"/>
    </row>
    <row r="28" spans="1:22" s="35" customFormat="1" ht="15">
      <c r="A28" s="35" t="s">
        <v>19</v>
      </c>
      <c r="B28" s="59"/>
      <c r="C28" s="69">
        <f>'(B) Feb SBX3_1 Base Bud Adj-rev'!Y28</f>
        <v>65508042</v>
      </c>
      <c r="D28" s="56"/>
      <c r="E28" s="35">
        <v>-1690000</v>
      </c>
      <c r="G28" s="35">
        <v>1588700</v>
      </c>
      <c r="I28" s="35">
        <f t="shared" si="0"/>
        <v>-101300</v>
      </c>
      <c r="K28" s="293">
        <f t="shared" si="1"/>
        <v>65406742</v>
      </c>
      <c r="M28" s="59">
        <v>-1202900</v>
      </c>
      <c r="N28" s="59"/>
      <c r="O28" s="35">
        <v>-6119500</v>
      </c>
      <c r="P28" s="59"/>
      <c r="Q28" s="35">
        <v>-4547700</v>
      </c>
      <c r="S28" s="83">
        <f>M28+O28+Q28</f>
        <v>-11870100</v>
      </c>
      <c r="T28" s="61"/>
      <c r="U28" s="69">
        <f>K28+S28</f>
        <v>53536642</v>
      </c>
      <c r="V28" s="59"/>
    </row>
    <row r="29" spans="1:22" s="35" customFormat="1" ht="15">
      <c r="A29" s="35" t="s">
        <v>20</v>
      </c>
      <c r="B29" s="59"/>
      <c r="C29" s="69">
        <f>'(B) Feb SBX3_1 Base Bud Adj-rev'!Y29</f>
        <v>62847973</v>
      </c>
      <c r="D29" s="56"/>
      <c r="E29" s="35">
        <v>-1692000</v>
      </c>
      <c r="G29" s="35">
        <v>1085900</v>
      </c>
      <c r="I29" s="35">
        <f t="shared" si="0"/>
        <v>-606100</v>
      </c>
      <c r="K29" s="293">
        <f t="shared" si="1"/>
        <v>62241873</v>
      </c>
      <c r="M29" s="59">
        <v>-1144500</v>
      </c>
      <c r="N29" s="59"/>
      <c r="O29" s="35">
        <v>-5871100</v>
      </c>
      <c r="P29" s="59"/>
      <c r="Q29" s="35">
        <v>-4140600</v>
      </c>
      <c r="S29" s="83">
        <f>M29+O29+Q29</f>
        <v>-11156200</v>
      </c>
      <c r="T29" s="61"/>
      <c r="U29" s="69">
        <f>K29+S29</f>
        <v>51085673</v>
      </c>
      <c r="V29" s="59"/>
    </row>
    <row r="30" spans="1:22" s="35" customFormat="1" ht="15">
      <c r="A30" s="35" t="s">
        <v>21</v>
      </c>
      <c r="B30" s="59"/>
      <c r="C30" s="69">
        <f>'(B) Feb SBX3_1 Base Bud Adj-rev'!Y30</f>
        <v>61890537</v>
      </c>
      <c r="D30" s="56"/>
      <c r="E30" s="35">
        <v>-1459000</v>
      </c>
      <c r="G30" s="35">
        <v>1935700</v>
      </c>
      <c r="I30" s="35">
        <f t="shared" si="0"/>
        <v>476700</v>
      </c>
      <c r="K30" s="293">
        <f t="shared" si="1"/>
        <v>62367237</v>
      </c>
      <c r="M30" s="59">
        <v>-1133400</v>
      </c>
      <c r="N30" s="59"/>
      <c r="O30" s="35">
        <v>-5781600</v>
      </c>
      <c r="P30" s="59"/>
      <c r="Q30" s="35">
        <v>-4105400</v>
      </c>
      <c r="S30" s="83">
        <f>M30+O30+Q30</f>
        <v>-11020400</v>
      </c>
      <c r="T30" s="61"/>
      <c r="U30" s="69">
        <f>K30+S30</f>
        <v>51346837</v>
      </c>
      <c r="V30" s="59"/>
    </row>
    <row r="31" spans="2:22" s="35" customFormat="1" ht="9" customHeight="1">
      <c r="B31" s="59"/>
      <c r="C31" s="69"/>
      <c r="D31" s="56"/>
      <c r="K31" s="293"/>
      <c r="M31" s="96"/>
      <c r="N31" s="96"/>
      <c r="P31" s="96"/>
      <c r="S31" s="83"/>
      <c r="T31" s="56"/>
      <c r="U31" s="69"/>
      <c r="V31" s="59"/>
    </row>
    <row r="32" spans="1:22" s="67" customFormat="1" ht="15" customHeight="1">
      <c r="A32" s="52" t="s">
        <v>22</v>
      </c>
      <c r="B32" s="57"/>
      <c r="C32" s="289">
        <f>SUM(C8:C31)</f>
        <v>2656307790</v>
      </c>
      <c r="D32" s="57"/>
      <c r="E32" s="97">
        <f>SUM(E8:E31)</f>
        <v>-78344000</v>
      </c>
      <c r="F32" s="97"/>
      <c r="G32" s="97">
        <f>SUM(G8:G31)</f>
        <v>78647000</v>
      </c>
      <c r="H32" s="97"/>
      <c r="I32" s="97">
        <f>SUM(I8:I31)</f>
        <v>303000</v>
      </c>
      <c r="J32" s="97"/>
      <c r="K32" s="294">
        <f>SUM(K8:K31)</f>
        <v>2656610790</v>
      </c>
      <c r="L32" s="97"/>
      <c r="M32" s="97">
        <f>SUM(M8:M31)</f>
        <v>-48696200</v>
      </c>
      <c r="N32" s="97"/>
      <c r="O32" s="97">
        <f>SUM(O8:O31)</f>
        <v>-248145000</v>
      </c>
      <c r="P32" s="97"/>
      <c r="Q32" s="97">
        <f>SUM(Q8:Q31)</f>
        <v>-260718800</v>
      </c>
      <c r="R32" s="97"/>
      <c r="S32" s="84">
        <f>SUM(S8:S30)</f>
        <v>-557560000</v>
      </c>
      <c r="T32" s="66"/>
      <c r="U32" s="70">
        <f>SUM(U8:U31)</f>
        <v>2099050790</v>
      </c>
      <c r="V32" s="58"/>
    </row>
    <row r="33" spans="2:22" s="35" customFormat="1" ht="9" customHeight="1">
      <c r="B33" s="59"/>
      <c r="C33" s="69"/>
      <c r="D33" s="56"/>
      <c r="K33" s="293"/>
      <c r="M33" s="96"/>
      <c r="N33" s="96"/>
      <c r="P33" s="96"/>
      <c r="S33" s="83"/>
      <c r="T33" s="56"/>
      <c r="U33" s="69"/>
      <c r="V33" s="59"/>
    </row>
    <row r="34" spans="1:22" s="35" customFormat="1" ht="15">
      <c r="A34" s="35" t="s">
        <v>23</v>
      </c>
      <c r="B34" s="59"/>
      <c r="C34" s="69">
        <f>'(B) Feb SBX3_1 Base Bud Adj-rev'!Y34</f>
        <v>75595327</v>
      </c>
      <c r="D34" s="56"/>
      <c r="E34" s="35">
        <v>0</v>
      </c>
      <c r="G34" s="35">
        <v>0</v>
      </c>
      <c r="I34" s="35">
        <f>E34+G34</f>
        <v>0</v>
      </c>
      <c r="K34" s="293">
        <f>C34+I34</f>
        <v>75595327</v>
      </c>
      <c r="M34" s="96">
        <v>-1303800</v>
      </c>
      <c r="N34" s="96"/>
      <c r="O34" s="35">
        <v>-4519500</v>
      </c>
      <c r="P34" s="96"/>
      <c r="Q34" s="35">
        <v>-2760800</v>
      </c>
      <c r="S34" s="83">
        <f>M34+O34+Q34</f>
        <v>-8584100</v>
      </c>
      <c r="T34" s="61"/>
      <c r="U34" s="69">
        <f>K34+S34</f>
        <v>67011227</v>
      </c>
      <c r="V34" s="59"/>
    </row>
    <row r="35" spans="1:22" s="35" customFormat="1" ht="15">
      <c r="A35" s="35" t="s">
        <v>34</v>
      </c>
      <c r="B35" s="59"/>
      <c r="C35" s="69">
        <f>'(B) Feb SBX3_1 Base Bud Adj-rev'!Y35</f>
        <v>1423735</v>
      </c>
      <c r="D35" s="56"/>
      <c r="E35" s="35">
        <v>-179000</v>
      </c>
      <c r="G35" s="35">
        <v>0</v>
      </c>
      <c r="I35" s="35">
        <f>E35+G35</f>
        <v>-179000</v>
      </c>
      <c r="K35" s="293">
        <f>C35+I35</f>
        <v>1244735</v>
      </c>
      <c r="M35" s="96">
        <v>0</v>
      </c>
      <c r="N35" s="96"/>
      <c r="O35" s="35">
        <v>0</v>
      </c>
      <c r="P35" s="96"/>
      <c r="Q35" s="35">
        <v>0</v>
      </c>
      <c r="S35" s="83">
        <f>M35+O35+Q35</f>
        <v>0</v>
      </c>
      <c r="T35" s="61"/>
      <c r="U35" s="69">
        <f>K35+S35</f>
        <v>1244735</v>
      </c>
      <c r="V35" s="59"/>
    </row>
    <row r="36" spans="1:22" s="35" customFormat="1" ht="15">
      <c r="A36" s="35" t="s">
        <v>24</v>
      </c>
      <c r="B36" s="59"/>
      <c r="C36" s="69">
        <f>'(B) Feb SBX3_1 Base Bud Adj-rev'!Y36</f>
        <v>2600496</v>
      </c>
      <c r="D36" s="56"/>
      <c r="E36" s="35">
        <v>-124000</v>
      </c>
      <c r="G36" s="35">
        <v>0</v>
      </c>
      <c r="I36" s="35">
        <f>E36+G36</f>
        <v>-124000</v>
      </c>
      <c r="K36" s="293">
        <f>C36+I36</f>
        <v>2476496</v>
      </c>
      <c r="M36" s="96">
        <v>0</v>
      </c>
      <c r="N36" s="96"/>
      <c r="O36" s="35">
        <v>0</v>
      </c>
      <c r="P36" s="96"/>
      <c r="Q36" s="35">
        <v>0</v>
      </c>
      <c r="S36" s="83">
        <f>M36+O36+Q36</f>
        <v>0</v>
      </c>
      <c r="T36" s="61"/>
      <c r="U36" s="69">
        <f>K36+S36</f>
        <v>2476496</v>
      </c>
      <c r="V36" s="59"/>
    </row>
    <row r="37" spans="1:22" s="35" customFormat="1" ht="15">
      <c r="A37" s="35" t="s">
        <v>25</v>
      </c>
      <c r="B37" s="59"/>
      <c r="C37" s="69">
        <f>'(B) Feb SBX3_1 Base Bud Adj-rev'!Y37</f>
        <v>98800</v>
      </c>
      <c r="D37" s="56"/>
      <c r="E37" s="35">
        <v>0</v>
      </c>
      <c r="G37" s="35">
        <v>0</v>
      </c>
      <c r="I37" s="35">
        <f>E37+G37</f>
        <v>0</v>
      </c>
      <c r="K37" s="293">
        <f>C37+I37</f>
        <v>98800</v>
      </c>
      <c r="M37" s="96">
        <v>0</v>
      </c>
      <c r="N37" s="96"/>
      <c r="O37" s="35">
        <v>0</v>
      </c>
      <c r="P37" s="96"/>
      <c r="Q37" s="35">
        <v>0</v>
      </c>
      <c r="S37" s="83">
        <f>M37+O37+Q37</f>
        <v>0</v>
      </c>
      <c r="T37" s="61"/>
      <c r="U37" s="69">
        <f>K37+S37</f>
        <v>98800</v>
      </c>
      <c r="V37" s="59"/>
    </row>
    <row r="38" spans="1:22" s="35" customFormat="1" ht="15">
      <c r="A38" s="35" t="s">
        <v>26</v>
      </c>
      <c r="B38" s="59"/>
      <c r="C38" s="69">
        <f>'(B) Feb SBX3_1 Base Bud Adj-rev'!Y38</f>
        <v>173025501</v>
      </c>
      <c r="D38" s="56"/>
      <c r="E38" s="35">
        <v>0</v>
      </c>
      <c r="G38" s="35">
        <v>0</v>
      </c>
      <c r="I38" s="35">
        <f>E38+G38</f>
        <v>0</v>
      </c>
      <c r="K38" s="293">
        <f>C38+I38</f>
        <v>173025501</v>
      </c>
      <c r="M38" s="96">
        <v>0</v>
      </c>
      <c r="N38" s="96"/>
      <c r="O38" s="35">
        <v>-2335500</v>
      </c>
      <c r="P38" s="96"/>
      <c r="Q38" s="35">
        <v>-2620400</v>
      </c>
      <c r="S38" s="83">
        <f>M38+O38+Q38</f>
        <v>-4955900</v>
      </c>
      <c r="T38" s="61"/>
      <c r="U38" s="69">
        <f>K38+S38</f>
        <v>168069601</v>
      </c>
      <c r="V38" s="59"/>
    </row>
    <row r="39" spans="2:22" s="35" customFormat="1" ht="9" customHeight="1">
      <c r="B39" s="59"/>
      <c r="C39" s="69"/>
      <c r="D39" s="56"/>
      <c r="K39" s="293"/>
      <c r="M39" s="96"/>
      <c r="N39" s="96"/>
      <c r="P39" s="96"/>
      <c r="S39" s="83"/>
      <c r="T39" s="56"/>
      <c r="U39" s="69"/>
      <c r="V39" s="59"/>
    </row>
    <row r="40" spans="1:22" s="67" customFormat="1" ht="15" customHeight="1" thickBot="1">
      <c r="A40" s="53" t="s">
        <v>27</v>
      </c>
      <c r="B40" s="63"/>
      <c r="C40" s="288">
        <f>SUM(C32:C38)</f>
        <v>2909051649</v>
      </c>
      <c r="D40" s="63"/>
      <c r="E40" s="98">
        <f>SUM(E32:E38)</f>
        <v>-78647000</v>
      </c>
      <c r="F40" s="98"/>
      <c r="G40" s="98">
        <f>SUM(G32:G38)</f>
        <v>78647000</v>
      </c>
      <c r="H40" s="98"/>
      <c r="I40" s="98">
        <f>SUM(I32:I38)</f>
        <v>0</v>
      </c>
      <c r="J40" s="98"/>
      <c r="K40" s="295">
        <f>SUM(K32:K38)</f>
        <v>2909051649</v>
      </c>
      <c r="L40" s="98"/>
      <c r="M40" s="98">
        <f>SUM(M32:M38)</f>
        <v>-50000000</v>
      </c>
      <c r="N40" s="98"/>
      <c r="O40" s="98">
        <f>SUM(O32:O38)</f>
        <v>-255000000</v>
      </c>
      <c r="P40" s="98"/>
      <c r="Q40" s="287">
        <f>SUM(Q32:Q38)</f>
        <v>-266100000</v>
      </c>
      <c r="R40" s="98"/>
      <c r="S40" s="286">
        <f>SUM(S32:S38)</f>
        <v>-571100000</v>
      </c>
      <c r="T40" s="98"/>
      <c r="U40" s="103">
        <f>SUM(U32:U38)</f>
        <v>2337951649</v>
      </c>
      <c r="V40" s="115"/>
    </row>
    <row r="41" spans="1:22" s="67" customFormat="1" ht="12" customHeight="1">
      <c r="A41" s="153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2" ht="29.25" customHeight="1">
      <c r="A42" s="325" t="s">
        <v>156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16"/>
    </row>
    <row r="43" spans="1:21" ht="18" customHeight="1">
      <c r="A43" s="325" t="s">
        <v>175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</row>
  </sheetData>
  <sheetProtection/>
  <mergeCells count="2">
    <mergeCell ref="A43:U43"/>
    <mergeCell ref="A42:U42"/>
  </mergeCells>
  <printOptions/>
  <pageMargins left="0.75" right="0.25" top="0.25" bottom="0.25" header="0.5" footer="0.25"/>
  <pageSetup fitToHeight="1" fitToWidth="1" horizontalDpi="600" verticalDpi="600" orientation="landscape" paperSize="5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8" sqref="O8"/>
    </sheetView>
  </sheetViews>
  <sheetFormatPr defaultColWidth="9.33203125" defaultRowHeight="12.75"/>
  <cols>
    <col min="1" max="1" width="25.83203125" style="109" customWidth="1"/>
    <col min="2" max="2" width="4.16015625" style="108" customWidth="1"/>
    <col min="3" max="3" width="15.16015625" style="106" bestFit="1" customWidth="1"/>
    <col min="4" max="5" width="14" style="106" bestFit="1" customWidth="1"/>
    <col min="6" max="6" width="14.83203125" style="106" customWidth="1"/>
    <col min="7" max="7" width="14" style="106" customWidth="1"/>
    <col min="8" max="8" width="4" style="106" customWidth="1"/>
    <col min="9" max="9" width="3.83203125" style="106" customWidth="1"/>
    <col min="10" max="10" width="14.16015625" style="107" customWidth="1"/>
    <col min="11" max="11" width="3.83203125" style="107" customWidth="1"/>
    <col min="12" max="12" width="16.16015625" style="186" customWidth="1"/>
    <col min="13" max="16384" width="9.33203125" style="106" customWidth="1"/>
  </cols>
  <sheetData>
    <row r="1" spans="1:2" ht="16.5">
      <c r="A1" s="266" t="s">
        <v>168</v>
      </c>
      <c r="B1" s="151"/>
    </row>
    <row r="2" spans="1:2" ht="15.75" customHeight="1">
      <c r="A2" s="150"/>
      <c r="B2" s="149"/>
    </row>
    <row r="3" spans="1:12" s="146" customFormat="1" ht="18" customHeight="1">
      <c r="A3" s="148"/>
      <c r="B3" s="148"/>
      <c r="C3" s="147">
        <v>-1</v>
      </c>
      <c r="D3" s="147">
        <v>-2</v>
      </c>
      <c r="E3" s="147">
        <v>-3</v>
      </c>
      <c r="F3" s="147">
        <v>-4</v>
      </c>
      <c r="G3" s="147">
        <v>-5</v>
      </c>
      <c r="H3" s="147"/>
      <c r="I3" s="147"/>
      <c r="J3" s="147">
        <v>-6</v>
      </c>
      <c r="K3" s="147"/>
      <c r="L3" s="147"/>
    </row>
    <row r="4" spans="1:12" s="143" customFormat="1" ht="18.75" customHeight="1">
      <c r="A4" s="145"/>
      <c r="B4" s="141"/>
      <c r="C4" s="327" t="s">
        <v>169</v>
      </c>
      <c r="D4" s="327"/>
      <c r="E4" s="327"/>
      <c r="F4" s="327"/>
      <c r="G4" s="327"/>
      <c r="H4" s="327"/>
      <c r="I4" s="327"/>
      <c r="J4" s="327"/>
      <c r="K4" s="319"/>
      <c r="L4" s="281"/>
    </row>
    <row r="5" spans="1:12" s="138" customFormat="1" ht="47.25" customHeight="1">
      <c r="A5" s="142"/>
      <c r="B5" s="141"/>
      <c r="C5" s="140" t="s">
        <v>56</v>
      </c>
      <c r="D5" s="140" t="s">
        <v>55</v>
      </c>
      <c r="E5" s="140" t="s">
        <v>54</v>
      </c>
      <c r="F5" s="283" t="s">
        <v>142</v>
      </c>
      <c r="G5" s="140" t="s">
        <v>53</v>
      </c>
      <c r="H5" s="140"/>
      <c r="I5" s="329" t="s">
        <v>170</v>
      </c>
      <c r="J5" s="329"/>
      <c r="K5" s="329"/>
      <c r="L5" s="139"/>
    </row>
    <row r="6" spans="1:12" s="132" customFormat="1" ht="12.75" customHeight="1">
      <c r="A6" s="137"/>
      <c r="B6" s="136"/>
      <c r="C6" s="135"/>
      <c r="D6" s="135"/>
      <c r="E6" s="135"/>
      <c r="F6" s="133"/>
      <c r="G6" s="135"/>
      <c r="H6" s="135"/>
      <c r="I6" s="326" t="s">
        <v>141</v>
      </c>
      <c r="J6" s="326"/>
      <c r="K6" s="326"/>
      <c r="L6" s="134"/>
    </row>
    <row r="7" spans="1:12" s="128" customFormat="1" ht="9" customHeight="1">
      <c r="A7" s="109"/>
      <c r="B7" s="108"/>
      <c r="C7" s="131"/>
      <c r="D7" s="131"/>
      <c r="E7" s="131"/>
      <c r="F7" s="129"/>
      <c r="G7" s="131"/>
      <c r="H7" s="131"/>
      <c r="I7" s="131"/>
      <c r="J7" s="130"/>
      <c r="K7" s="130"/>
      <c r="L7" s="130"/>
    </row>
    <row r="8" spans="1:12" s="122" customFormat="1" ht="15" customHeight="1">
      <c r="A8" s="127" t="s">
        <v>0</v>
      </c>
      <c r="B8" s="115"/>
      <c r="C8" s="115">
        <v>185000</v>
      </c>
      <c r="D8" s="115">
        <v>59000</v>
      </c>
      <c r="E8" s="115">
        <v>250000</v>
      </c>
      <c r="F8" s="115">
        <v>0</v>
      </c>
      <c r="G8" s="126">
        <v>129000</v>
      </c>
      <c r="H8" s="126"/>
      <c r="I8" s="115"/>
      <c r="J8" s="125">
        <f>SUM(C8:G8)</f>
        <v>623000</v>
      </c>
      <c r="K8" s="125"/>
      <c r="L8" s="125"/>
    </row>
    <row r="9" spans="1:12" ht="15" customHeight="1">
      <c r="A9" s="111" t="s">
        <v>1</v>
      </c>
      <c r="B9" s="96"/>
      <c r="C9" s="96">
        <v>120000</v>
      </c>
      <c r="D9" s="118">
        <v>47000</v>
      </c>
      <c r="E9" s="96">
        <v>160000</v>
      </c>
      <c r="F9" s="96">
        <v>729900</v>
      </c>
      <c r="G9" s="121">
        <v>70000</v>
      </c>
      <c r="H9" s="121"/>
      <c r="I9" s="96"/>
      <c r="J9" s="119">
        <f>SUM(C9:I9)</f>
        <v>1126900</v>
      </c>
      <c r="K9" s="119"/>
      <c r="L9" s="119"/>
    </row>
    <row r="10" spans="1:12" ht="15" customHeight="1">
      <c r="A10" s="111" t="s">
        <v>2</v>
      </c>
      <c r="B10" s="96"/>
      <c r="C10" s="96">
        <v>423000</v>
      </c>
      <c r="D10" s="118">
        <v>129000</v>
      </c>
      <c r="E10" s="96">
        <v>533000</v>
      </c>
      <c r="F10" s="96">
        <v>114200</v>
      </c>
      <c r="G10" s="121">
        <v>296000</v>
      </c>
      <c r="H10" s="121"/>
      <c r="I10" s="96"/>
      <c r="J10" s="119">
        <f aca="true" t="shared" si="0" ref="J10:J30">SUM(C10:I10)</f>
        <v>1495200</v>
      </c>
      <c r="K10" s="119"/>
      <c r="L10" s="119"/>
    </row>
    <row r="11" spans="1:12" ht="15" customHeight="1">
      <c r="A11" s="111" t="s">
        <v>3</v>
      </c>
      <c r="B11" s="96"/>
      <c r="C11" s="96">
        <v>220000</v>
      </c>
      <c r="D11" s="118">
        <v>62000</v>
      </c>
      <c r="E11" s="96">
        <v>308000</v>
      </c>
      <c r="F11" s="96">
        <v>1313300</v>
      </c>
      <c r="G11" s="121">
        <v>171000</v>
      </c>
      <c r="H11" s="121"/>
      <c r="I11" s="96"/>
      <c r="J11" s="119">
        <f t="shared" si="0"/>
        <v>2074300</v>
      </c>
      <c r="K11" s="119"/>
      <c r="L11" s="119"/>
    </row>
    <row r="12" spans="1:12" ht="15" customHeight="1">
      <c r="A12" s="111" t="s">
        <v>29</v>
      </c>
      <c r="B12" s="96"/>
      <c r="C12" s="96">
        <v>290000</v>
      </c>
      <c r="D12" s="118">
        <v>97000</v>
      </c>
      <c r="E12" s="96">
        <v>401000</v>
      </c>
      <c r="F12" s="96">
        <v>0</v>
      </c>
      <c r="G12" s="121">
        <v>231000</v>
      </c>
      <c r="H12" s="121"/>
      <c r="I12" s="96"/>
      <c r="J12" s="119">
        <f t="shared" si="0"/>
        <v>1019000</v>
      </c>
      <c r="K12" s="119"/>
      <c r="L12" s="119"/>
    </row>
    <row r="13" spans="1:12" ht="15" customHeight="1">
      <c r="A13" s="111" t="s">
        <v>4</v>
      </c>
      <c r="B13" s="96"/>
      <c r="C13" s="96">
        <v>444000</v>
      </c>
      <c r="D13" s="118">
        <v>142000</v>
      </c>
      <c r="E13" s="96">
        <v>615000</v>
      </c>
      <c r="F13" s="96">
        <v>715900</v>
      </c>
      <c r="G13" s="121">
        <v>365000</v>
      </c>
      <c r="H13" s="121"/>
      <c r="I13" s="96"/>
      <c r="J13" s="119">
        <f t="shared" si="0"/>
        <v>2281900</v>
      </c>
      <c r="K13" s="119"/>
      <c r="L13" s="119"/>
    </row>
    <row r="14" spans="1:12" ht="15" customHeight="1">
      <c r="A14" s="111" t="s">
        <v>5</v>
      </c>
      <c r="B14" s="96"/>
      <c r="C14" s="96">
        <v>600000</v>
      </c>
      <c r="D14" s="118">
        <v>202000</v>
      </c>
      <c r="E14" s="96">
        <v>815000</v>
      </c>
      <c r="F14" s="96">
        <v>1949700</v>
      </c>
      <c r="G14" s="121">
        <v>528000</v>
      </c>
      <c r="H14" s="121"/>
      <c r="I14" s="96"/>
      <c r="J14" s="119">
        <f t="shared" si="0"/>
        <v>4094700</v>
      </c>
      <c r="K14" s="119"/>
      <c r="L14" s="119"/>
    </row>
    <row r="15" spans="1:12" ht="15" customHeight="1">
      <c r="A15" s="111" t="s">
        <v>6</v>
      </c>
      <c r="B15" s="96"/>
      <c r="C15" s="96">
        <v>222000</v>
      </c>
      <c r="D15" s="118">
        <v>72000</v>
      </c>
      <c r="E15" s="96">
        <v>388000</v>
      </c>
      <c r="F15" s="96">
        <v>0</v>
      </c>
      <c r="G15" s="121">
        <v>147000</v>
      </c>
      <c r="H15" s="121"/>
      <c r="I15" s="96"/>
      <c r="J15" s="119">
        <f t="shared" si="0"/>
        <v>829000</v>
      </c>
      <c r="K15" s="119"/>
      <c r="L15" s="119"/>
    </row>
    <row r="16" spans="1:12" ht="15" customHeight="1">
      <c r="A16" s="111" t="s">
        <v>7</v>
      </c>
      <c r="B16" s="96"/>
      <c r="C16" s="96">
        <v>615000</v>
      </c>
      <c r="D16" s="118">
        <v>184000</v>
      </c>
      <c r="E16" s="96">
        <v>877000</v>
      </c>
      <c r="F16" s="96">
        <v>51000</v>
      </c>
      <c r="G16" s="121">
        <v>582000</v>
      </c>
      <c r="H16" s="121"/>
      <c r="I16" s="96"/>
      <c r="J16" s="119">
        <f t="shared" si="0"/>
        <v>2309000</v>
      </c>
      <c r="K16" s="119"/>
      <c r="L16" s="119"/>
    </row>
    <row r="17" spans="1:12" s="107" customFormat="1" ht="15" customHeight="1">
      <c r="A17" s="111" t="s">
        <v>8</v>
      </c>
      <c r="B17" s="96"/>
      <c r="C17" s="96">
        <v>350000</v>
      </c>
      <c r="D17" s="118">
        <v>115000</v>
      </c>
      <c r="E17" s="96">
        <v>691000</v>
      </c>
      <c r="F17" s="96">
        <v>0</v>
      </c>
      <c r="G17" s="121">
        <v>337000</v>
      </c>
      <c r="H17" s="121"/>
      <c r="I17" s="96"/>
      <c r="J17" s="119">
        <f t="shared" si="0"/>
        <v>1493000</v>
      </c>
      <c r="K17" s="119"/>
      <c r="L17" s="119"/>
    </row>
    <row r="18" spans="1:12" s="107" customFormat="1" ht="15" customHeight="1">
      <c r="A18" s="111" t="s">
        <v>9</v>
      </c>
      <c r="B18" s="96"/>
      <c r="C18" s="96">
        <v>44000</v>
      </c>
      <c r="D18" s="118">
        <v>16000</v>
      </c>
      <c r="E18" s="96">
        <v>121000</v>
      </c>
      <c r="F18" s="96">
        <v>0</v>
      </c>
      <c r="G18" s="121">
        <v>28000</v>
      </c>
      <c r="H18" s="121"/>
      <c r="I18" s="96"/>
      <c r="J18" s="119">
        <f t="shared" si="0"/>
        <v>209000</v>
      </c>
      <c r="K18" s="119"/>
      <c r="L18" s="119"/>
    </row>
    <row r="19" spans="1:12" s="107" customFormat="1" ht="15" customHeight="1">
      <c r="A19" s="111" t="s">
        <v>10</v>
      </c>
      <c r="B19" s="96"/>
      <c r="C19" s="96">
        <v>133000</v>
      </c>
      <c r="D19" s="118">
        <v>43000</v>
      </c>
      <c r="E19" s="96">
        <v>222000</v>
      </c>
      <c r="F19" s="96">
        <v>32900</v>
      </c>
      <c r="G19" s="121">
        <v>79000</v>
      </c>
      <c r="H19" s="121"/>
      <c r="I19" s="96"/>
      <c r="J19" s="119">
        <f t="shared" si="0"/>
        <v>509900</v>
      </c>
      <c r="K19" s="119"/>
      <c r="L19" s="119"/>
    </row>
    <row r="20" spans="1:12" s="107" customFormat="1" ht="15" customHeight="1">
      <c r="A20" s="111" t="s">
        <v>11</v>
      </c>
      <c r="B20" s="96"/>
      <c r="C20" s="96">
        <v>579000</v>
      </c>
      <c r="D20" s="118">
        <v>182000</v>
      </c>
      <c r="E20" s="96">
        <v>842000</v>
      </c>
      <c r="F20" s="96">
        <v>2602600</v>
      </c>
      <c r="G20" s="121">
        <v>508000</v>
      </c>
      <c r="H20" s="121"/>
      <c r="I20" s="96"/>
      <c r="J20" s="119">
        <f t="shared" si="0"/>
        <v>4713600</v>
      </c>
      <c r="K20" s="119"/>
      <c r="L20" s="119"/>
    </row>
    <row r="21" spans="1:12" s="107" customFormat="1" ht="15" customHeight="1">
      <c r="A21" s="111" t="s">
        <v>12</v>
      </c>
      <c r="B21" s="96"/>
      <c r="C21" s="96">
        <v>425000</v>
      </c>
      <c r="D21" s="118">
        <v>139000</v>
      </c>
      <c r="E21" s="96">
        <v>642000</v>
      </c>
      <c r="F21" s="96">
        <v>252600</v>
      </c>
      <c r="G21" s="121">
        <v>379000</v>
      </c>
      <c r="H21" s="121"/>
      <c r="I21" s="96"/>
      <c r="J21" s="119">
        <f t="shared" si="0"/>
        <v>1837600</v>
      </c>
      <c r="K21" s="119"/>
      <c r="L21" s="119"/>
    </row>
    <row r="22" spans="1:12" s="107" customFormat="1" ht="15" customHeight="1">
      <c r="A22" s="111" t="s">
        <v>13</v>
      </c>
      <c r="B22" s="96"/>
      <c r="C22" s="96">
        <v>521000</v>
      </c>
      <c r="D22" s="118">
        <v>167000</v>
      </c>
      <c r="E22" s="96">
        <v>615000</v>
      </c>
      <c r="F22" s="96">
        <v>236700</v>
      </c>
      <c r="G22" s="121">
        <v>448000</v>
      </c>
      <c r="H22" s="121"/>
      <c r="I22" s="96"/>
      <c r="J22" s="119">
        <f t="shared" si="0"/>
        <v>1987700</v>
      </c>
      <c r="K22" s="119"/>
      <c r="L22" s="119"/>
    </row>
    <row r="23" spans="1:12" s="107" customFormat="1" ht="15" customHeight="1">
      <c r="A23" s="111" t="s">
        <v>14</v>
      </c>
      <c r="B23" s="96"/>
      <c r="C23" s="96">
        <v>325000</v>
      </c>
      <c r="D23" s="118">
        <v>95000</v>
      </c>
      <c r="E23" s="96">
        <v>513000</v>
      </c>
      <c r="F23" s="96">
        <v>24100</v>
      </c>
      <c r="G23" s="121">
        <v>260000</v>
      </c>
      <c r="H23" s="121"/>
      <c r="I23" s="96"/>
      <c r="J23" s="119">
        <f t="shared" si="0"/>
        <v>1217100</v>
      </c>
      <c r="K23" s="119"/>
      <c r="L23" s="119"/>
    </row>
    <row r="24" spans="1:12" s="107" customFormat="1" ht="15" customHeight="1">
      <c r="A24" s="111" t="s">
        <v>15</v>
      </c>
      <c r="B24" s="96"/>
      <c r="C24" s="96">
        <v>694000</v>
      </c>
      <c r="D24" s="118">
        <v>217000</v>
      </c>
      <c r="E24" s="96">
        <v>1002000</v>
      </c>
      <c r="F24" s="96">
        <v>32600</v>
      </c>
      <c r="G24" s="121">
        <v>595000</v>
      </c>
      <c r="H24" s="121"/>
      <c r="I24" s="96"/>
      <c r="J24" s="119">
        <f t="shared" si="0"/>
        <v>2540600</v>
      </c>
      <c r="K24" s="119"/>
      <c r="L24" s="119"/>
    </row>
    <row r="25" spans="1:12" s="107" customFormat="1" ht="15" customHeight="1">
      <c r="A25" s="111" t="s">
        <v>16</v>
      </c>
      <c r="B25" s="96"/>
      <c r="C25" s="96">
        <v>554000</v>
      </c>
      <c r="D25" s="118">
        <v>171000</v>
      </c>
      <c r="E25" s="96">
        <v>715000</v>
      </c>
      <c r="F25" s="96">
        <v>388100</v>
      </c>
      <c r="G25" s="121">
        <v>492000</v>
      </c>
      <c r="H25" s="121"/>
      <c r="I25" s="96"/>
      <c r="J25" s="119">
        <f t="shared" si="0"/>
        <v>2320100</v>
      </c>
      <c r="K25" s="119"/>
      <c r="L25" s="119"/>
    </row>
    <row r="26" spans="1:12" s="107" customFormat="1" ht="15" customHeight="1">
      <c r="A26" s="111" t="s">
        <v>17</v>
      </c>
      <c r="B26" s="96"/>
      <c r="C26" s="96">
        <v>530000</v>
      </c>
      <c r="D26" s="118">
        <v>180000</v>
      </c>
      <c r="E26" s="96">
        <v>902000</v>
      </c>
      <c r="F26" s="96">
        <v>0</v>
      </c>
      <c r="G26" s="121">
        <v>490000</v>
      </c>
      <c r="H26" s="121"/>
      <c r="I26" s="96"/>
      <c r="J26" s="119">
        <f t="shared" si="0"/>
        <v>2102000</v>
      </c>
      <c r="K26" s="119"/>
      <c r="L26" s="119"/>
    </row>
    <row r="27" spans="1:12" s="107" customFormat="1" ht="15" customHeight="1">
      <c r="A27" s="111" t="s">
        <v>18</v>
      </c>
      <c r="B27" s="96"/>
      <c r="C27" s="96">
        <v>481000</v>
      </c>
      <c r="D27" s="118">
        <v>158000</v>
      </c>
      <c r="E27" s="96">
        <v>734000</v>
      </c>
      <c r="F27" s="96">
        <v>62900</v>
      </c>
      <c r="G27" s="121">
        <v>422000</v>
      </c>
      <c r="H27" s="121"/>
      <c r="I27" s="96"/>
      <c r="J27" s="119">
        <f t="shared" si="0"/>
        <v>1857900</v>
      </c>
      <c r="K27" s="119"/>
      <c r="L27" s="119"/>
    </row>
    <row r="28" spans="1:12" s="107" customFormat="1" ht="15" customHeight="1">
      <c r="A28" s="111" t="s">
        <v>19</v>
      </c>
      <c r="B28" s="96"/>
      <c r="C28" s="96">
        <v>194000</v>
      </c>
      <c r="D28" s="118">
        <v>65000</v>
      </c>
      <c r="E28" s="96">
        <v>255000</v>
      </c>
      <c r="F28" s="96">
        <v>0</v>
      </c>
      <c r="G28" s="121">
        <v>141000</v>
      </c>
      <c r="H28" s="121"/>
      <c r="I28" s="96"/>
      <c r="J28" s="119">
        <f t="shared" si="0"/>
        <v>655000</v>
      </c>
      <c r="K28" s="119"/>
      <c r="L28" s="119"/>
    </row>
    <row r="29" spans="1:12" s="107" customFormat="1" ht="15" customHeight="1">
      <c r="A29" s="111" t="s">
        <v>20</v>
      </c>
      <c r="B29" s="96"/>
      <c r="C29" s="96">
        <v>208000</v>
      </c>
      <c r="D29" s="118">
        <v>68000</v>
      </c>
      <c r="E29" s="96">
        <v>295000</v>
      </c>
      <c r="F29" s="96">
        <v>768700</v>
      </c>
      <c r="G29" s="121">
        <v>146000</v>
      </c>
      <c r="H29" s="121"/>
      <c r="I29" s="96"/>
      <c r="J29" s="119">
        <f t="shared" si="0"/>
        <v>1485700</v>
      </c>
      <c r="K29" s="119"/>
      <c r="L29" s="119"/>
    </row>
    <row r="30" spans="1:12" s="107" customFormat="1" ht="15" customHeight="1">
      <c r="A30" s="111" t="s">
        <v>21</v>
      </c>
      <c r="B30" s="96"/>
      <c r="C30" s="96">
        <v>206000</v>
      </c>
      <c r="D30" s="118">
        <v>66000</v>
      </c>
      <c r="E30" s="96">
        <v>304000</v>
      </c>
      <c r="F30" s="96">
        <v>0</v>
      </c>
      <c r="G30" s="121">
        <v>156000</v>
      </c>
      <c r="H30" s="121"/>
      <c r="I30" s="96"/>
      <c r="J30" s="119">
        <f t="shared" si="0"/>
        <v>732000</v>
      </c>
      <c r="K30" s="119"/>
      <c r="L30" s="119"/>
    </row>
    <row r="31" spans="1:12" s="107" customFormat="1" ht="9" customHeight="1">
      <c r="A31" s="111"/>
      <c r="B31" s="96"/>
      <c r="C31" s="96"/>
      <c r="D31" s="96"/>
      <c r="E31" s="96"/>
      <c r="F31" s="96"/>
      <c r="G31" s="96"/>
      <c r="H31" s="96"/>
      <c r="I31" s="96"/>
      <c r="J31" s="117"/>
      <c r="K31" s="117"/>
      <c r="L31" s="117"/>
    </row>
    <row r="32" spans="1:12" s="107" customFormat="1" ht="15" customHeight="1">
      <c r="A32" s="120" t="s">
        <v>22</v>
      </c>
      <c r="B32" s="120"/>
      <c r="C32" s="97">
        <f>SUM(C8:C31)</f>
        <v>8363000</v>
      </c>
      <c r="D32" s="97">
        <f>SUM(D8:D31)</f>
        <v>2676000</v>
      </c>
      <c r="E32" s="97">
        <f>SUM(E8:E31)</f>
        <v>12200000</v>
      </c>
      <c r="F32" s="97">
        <f>SUM(F8:F31)</f>
        <v>9275200</v>
      </c>
      <c r="G32" s="97">
        <f>SUM(G8:G31)</f>
        <v>7000000</v>
      </c>
      <c r="H32" s="97"/>
      <c r="I32" s="97"/>
      <c r="J32" s="97">
        <f>SUM(J8:J31)</f>
        <v>39514200</v>
      </c>
      <c r="K32" s="115"/>
      <c r="L32" s="115"/>
    </row>
    <row r="33" spans="1:12" s="107" customFormat="1" ht="9" customHeight="1">
      <c r="A33" s="111"/>
      <c r="B33" s="96"/>
      <c r="C33" s="96"/>
      <c r="D33" s="96"/>
      <c r="E33" s="96"/>
      <c r="F33" s="96"/>
      <c r="G33" s="96"/>
      <c r="H33" s="96"/>
      <c r="I33" s="96"/>
      <c r="J33" s="117"/>
      <c r="K33" s="117"/>
      <c r="L33" s="117"/>
    </row>
    <row r="34" spans="1:12" s="107" customFormat="1" ht="15" customHeight="1">
      <c r="A34" s="111" t="s">
        <v>23</v>
      </c>
      <c r="B34" s="96"/>
      <c r="C34" s="96">
        <v>121000</v>
      </c>
      <c r="D34" s="96">
        <v>37000</v>
      </c>
      <c r="E34" s="96">
        <v>0</v>
      </c>
      <c r="F34" s="96">
        <v>0</v>
      </c>
      <c r="G34" s="96">
        <v>0</v>
      </c>
      <c r="H34" s="96"/>
      <c r="I34" s="96"/>
      <c r="J34" s="119">
        <f>SUM(C34:I34)</f>
        <v>158000</v>
      </c>
      <c r="K34" s="119"/>
      <c r="L34" s="119"/>
    </row>
    <row r="35" spans="1:12" s="107" customFormat="1" ht="15" customHeight="1">
      <c r="A35" s="111" t="s">
        <v>34</v>
      </c>
      <c r="B35" s="96"/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/>
      <c r="I35" s="96"/>
      <c r="J35" s="119">
        <f>SUM(C35:I35)</f>
        <v>0</v>
      </c>
      <c r="K35" s="119"/>
      <c r="L35" s="119"/>
    </row>
    <row r="36" spans="1:12" s="107" customFormat="1" ht="15" customHeight="1">
      <c r="A36" s="111" t="s">
        <v>24</v>
      </c>
      <c r="B36" s="96"/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/>
      <c r="I36" s="96"/>
      <c r="J36" s="119">
        <f>SUM(C36:I36)</f>
        <v>0</v>
      </c>
      <c r="K36" s="119"/>
      <c r="L36" s="119"/>
    </row>
    <row r="37" spans="1:12" s="107" customFormat="1" ht="15" customHeight="1">
      <c r="A37" s="111" t="s">
        <v>25</v>
      </c>
      <c r="B37" s="96"/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/>
      <c r="I37" s="96"/>
      <c r="J37" s="119">
        <f>SUM(C37:I37)</f>
        <v>0</v>
      </c>
      <c r="K37" s="119"/>
      <c r="L37" s="119"/>
    </row>
    <row r="38" spans="1:12" s="107" customFormat="1" ht="15" customHeight="1">
      <c r="A38" s="111" t="s">
        <v>26</v>
      </c>
      <c r="B38" s="96"/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/>
      <c r="I38" s="96"/>
      <c r="J38" s="119">
        <f>SUM(C38:I38)</f>
        <v>0</v>
      </c>
      <c r="K38" s="119"/>
      <c r="L38" s="119"/>
    </row>
    <row r="39" spans="1:12" s="107" customFormat="1" ht="7.5" customHeight="1">
      <c r="A39" s="111"/>
      <c r="B39" s="96"/>
      <c r="C39" s="96"/>
      <c r="D39" s="96"/>
      <c r="E39" s="96"/>
      <c r="F39" s="96"/>
      <c r="G39" s="96"/>
      <c r="H39" s="96"/>
      <c r="I39" s="96"/>
      <c r="J39" s="117"/>
      <c r="K39" s="117"/>
      <c r="L39" s="117"/>
    </row>
    <row r="40" spans="1:12" s="107" customFormat="1" ht="15" customHeight="1" thickBot="1">
      <c r="A40" s="116" t="s">
        <v>27</v>
      </c>
      <c r="B40" s="116"/>
      <c r="C40" s="98">
        <f>SUM(C32:C38)</f>
        <v>8484000</v>
      </c>
      <c r="D40" s="98">
        <f>SUM(D32:D38)</f>
        <v>2713000</v>
      </c>
      <c r="E40" s="98">
        <f>SUM(E32:E38)</f>
        <v>12200000</v>
      </c>
      <c r="F40" s="98">
        <f>SUM(F32:F38)</f>
        <v>9275200</v>
      </c>
      <c r="G40" s="98">
        <f>SUM(G32:G38)</f>
        <v>7000000</v>
      </c>
      <c r="H40" s="98"/>
      <c r="I40" s="98"/>
      <c r="J40" s="98">
        <f>SUM(J32:J38)</f>
        <v>39672200</v>
      </c>
      <c r="K40" s="115"/>
      <c r="L40" s="115"/>
    </row>
    <row r="41" spans="1:12" s="107" customFormat="1" ht="18" customHeight="1">
      <c r="A41" s="114"/>
      <c r="B41" s="114"/>
      <c r="C41" s="113"/>
      <c r="D41" s="113"/>
      <c r="E41" s="106"/>
      <c r="F41" s="106"/>
      <c r="G41" s="106"/>
      <c r="H41" s="106"/>
      <c r="I41" s="106"/>
      <c r="J41" s="112"/>
      <c r="K41" s="112"/>
      <c r="L41" s="282"/>
    </row>
    <row r="42" spans="1:12" s="107" customFormat="1" ht="30" customHeight="1">
      <c r="A42" s="328" t="s">
        <v>143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18"/>
      <c r="L42" s="186"/>
    </row>
    <row r="43" spans="2:12" s="107" customFormat="1" ht="15">
      <c r="B43" s="108"/>
      <c r="E43" s="106"/>
      <c r="F43" s="106"/>
      <c r="G43" s="106"/>
      <c r="H43" s="106"/>
      <c r="I43" s="106"/>
      <c r="L43" s="186"/>
    </row>
    <row r="44" spans="1:12" s="107" customFormat="1" ht="15">
      <c r="A44" s="109"/>
      <c r="B44" s="108"/>
      <c r="E44" s="106"/>
      <c r="F44" s="106"/>
      <c r="G44" s="106"/>
      <c r="H44" s="106"/>
      <c r="I44" s="106"/>
      <c r="L44" s="186"/>
    </row>
    <row r="45" spans="1:12" s="107" customFormat="1" ht="15">
      <c r="A45" s="109"/>
      <c r="B45" s="108"/>
      <c r="E45" s="106"/>
      <c r="F45" s="106"/>
      <c r="G45" s="106"/>
      <c r="H45" s="106"/>
      <c r="I45" s="106"/>
      <c r="L45" s="186"/>
    </row>
  </sheetData>
  <sheetProtection/>
  <mergeCells count="4">
    <mergeCell ref="I6:K6"/>
    <mergeCell ref="C4:J4"/>
    <mergeCell ref="A42:J42"/>
    <mergeCell ref="I5:K5"/>
  </mergeCells>
  <printOptions/>
  <pageMargins left="0.75" right="0.5" top="0.5" bottom="0.25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1" sqref="AE1:AE16384"/>
    </sheetView>
  </sheetViews>
  <sheetFormatPr defaultColWidth="9.33203125" defaultRowHeight="12.75"/>
  <cols>
    <col min="1" max="1" width="24.16015625" style="161" customWidth="1"/>
    <col min="2" max="2" width="11.83203125" style="161" customWidth="1"/>
    <col min="3" max="3" width="14.83203125" style="158" bestFit="1" customWidth="1"/>
    <col min="4" max="4" width="14.33203125" style="159" customWidth="1"/>
    <col min="5" max="5" width="16" style="159" customWidth="1"/>
    <col min="6" max="6" width="13.83203125" style="159" customWidth="1"/>
    <col min="7" max="7" width="2.83203125" style="159" customWidth="1"/>
    <col min="8" max="8" width="9.83203125" style="159" customWidth="1"/>
    <col min="9" max="9" width="12" style="159" customWidth="1"/>
    <col min="10" max="10" width="13.5" style="159" customWidth="1"/>
    <col min="11" max="11" width="17.5" style="159" customWidth="1"/>
    <col min="12" max="12" width="15" style="161" customWidth="1"/>
    <col min="13" max="13" width="3.83203125" style="161" customWidth="1"/>
    <col min="14" max="14" width="10.83203125" style="161" customWidth="1"/>
    <col min="15" max="15" width="2" style="162" customWidth="1"/>
    <col min="16" max="16" width="14.83203125" style="161" bestFit="1" customWidth="1"/>
    <col min="17" max="17" width="1.83203125" style="161" customWidth="1"/>
    <col min="18" max="18" width="14.5" style="161" bestFit="1" customWidth="1"/>
    <col min="19" max="19" width="1.83203125" style="161" customWidth="1"/>
    <col min="20" max="20" width="14.83203125" style="161" bestFit="1" customWidth="1"/>
    <col min="21" max="21" width="2.83203125" style="161" customWidth="1"/>
    <col min="22" max="24" width="14.5" style="161" customWidth="1"/>
    <col min="25" max="25" width="2.83203125" style="161" customWidth="1"/>
    <col min="26" max="26" width="18.66015625" style="161" customWidth="1"/>
    <col min="27" max="27" width="2.83203125" style="161" customWidth="1"/>
    <col min="28" max="28" width="15.33203125" style="161" customWidth="1"/>
    <col min="29" max="29" width="2.83203125" style="162" customWidth="1"/>
    <col min="30" max="30" width="14.83203125" style="161" customWidth="1"/>
    <col min="31" max="31" width="18.83203125" style="161" customWidth="1"/>
    <col min="32" max="16384" width="9.33203125" style="161" customWidth="1"/>
  </cols>
  <sheetData>
    <row r="1" spans="1:28" ht="15.75" customHeight="1">
      <c r="A1" s="157" t="s">
        <v>106</v>
      </c>
      <c r="B1" s="144"/>
      <c r="F1" s="160"/>
      <c r="G1" s="160"/>
      <c r="Z1" s="330" t="s">
        <v>125</v>
      </c>
      <c r="AB1" s="330" t="s">
        <v>116</v>
      </c>
    </row>
    <row r="2" spans="1:28" ht="15.75" customHeight="1">
      <c r="A2" s="157"/>
      <c r="B2" s="144"/>
      <c r="F2" s="160"/>
      <c r="G2" s="160"/>
      <c r="V2" s="330" t="s">
        <v>123</v>
      </c>
      <c r="W2" s="330"/>
      <c r="X2" s="330"/>
      <c r="Z2" s="330"/>
      <c r="AB2" s="330"/>
    </row>
    <row r="3" spans="1:28" ht="17.25" customHeight="1" thickBot="1">
      <c r="A3" s="150"/>
      <c r="B3" s="333" t="s">
        <v>128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V3" s="331"/>
      <c r="W3" s="331"/>
      <c r="X3" s="331"/>
      <c r="Z3" s="331"/>
      <c r="AB3" s="331"/>
    </row>
    <row r="4" spans="1:29" s="165" customFormat="1" ht="15.75" customHeight="1">
      <c r="A4" s="163"/>
      <c r="B4" s="164">
        <v>-1</v>
      </c>
      <c r="C4" s="164">
        <v>-2</v>
      </c>
      <c r="D4" s="164">
        <v>-3</v>
      </c>
      <c r="E4" s="164">
        <v>-4</v>
      </c>
      <c r="F4" s="164">
        <v>-5</v>
      </c>
      <c r="G4" s="164"/>
      <c r="H4" s="164">
        <v>-6</v>
      </c>
      <c r="I4" s="164">
        <v>-7</v>
      </c>
      <c r="J4" s="164">
        <v>-8</v>
      </c>
      <c r="K4" s="164">
        <v>-9</v>
      </c>
      <c r="L4" s="164">
        <v>-10</v>
      </c>
      <c r="M4" s="164"/>
      <c r="N4" s="166">
        <v>-11</v>
      </c>
      <c r="O4" s="166"/>
      <c r="P4" s="166">
        <v>-12</v>
      </c>
      <c r="Q4" s="166"/>
      <c r="R4" s="166">
        <v>-13</v>
      </c>
      <c r="S4" s="166"/>
      <c r="T4" s="166">
        <v>-14</v>
      </c>
      <c r="U4" s="166"/>
      <c r="V4" s="166">
        <v>-15</v>
      </c>
      <c r="W4" s="166">
        <v>-16</v>
      </c>
      <c r="X4" s="164">
        <v>-17</v>
      </c>
      <c r="Y4" s="166"/>
      <c r="Z4" s="166">
        <v>-18</v>
      </c>
      <c r="AA4" s="166"/>
      <c r="AB4" s="166">
        <v>-19</v>
      </c>
      <c r="AC4" s="163"/>
    </row>
    <row r="5" spans="1:29" s="107" customFormat="1" ht="15.75" customHeight="1">
      <c r="A5" s="167"/>
      <c r="B5" s="332" t="s">
        <v>58</v>
      </c>
      <c r="C5" s="332"/>
      <c r="D5" s="332"/>
      <c r="E5" s="332"/>
      <c r="F5" s="332"/>
      <c r="G5" s="168"/>
      <c r="H5" s="332" t="s">
        <v>59</v>
      </c>
      <c r="I5" s="332"/>
      <c r="J5" s="332"/>
      <c r="K5" s="332"/>
      <c r="L5" s="332"/>
      <c r="M5" s="168"/>
      <c r="N5" s="334" t="s">
        <v>133</v>
      </c>
      <c r="O5" s="334"/>
      <c r="P5" s="334"/>
      <c r="Q5" s="334"/>
      <c r="R5" s="334"/>
      <c r="S5" s="334"/>
      <c r="T5" s="334"/>
      <c r="U5" s="280">
        <v>3</v>
      </c>
      <c r="V5" s="275"/>
      <c r="W5" s="276"/>
      <c r="X5" s="168"/>
      <c r="Y5" s="168"/>
      <c r="AA5" s="168"/>
      <c r="AB5" s="277"/>
      <c r="AC5" s="186"/>
    </row>
    <row r="6" spans="1:31" ht="96" customHeight="1">
      <c r="A6" s="169"/>
      <c r="B6" s="170" t="s">
        <v>112</v>
      </c>
      <c r="C6" s="171" t="s">
        <v>109</v>
      </c>
      <c r="D6" s="171" t="s">
        <v>60</v>
      </c>
      <c r="E6" s="172" t="s">
        <v>110</v>
      </c>
      <c r="F6" s="171" t="s">
        <v>108</v>
      </c>
      <c r="G6" s="171"/>
      <c r="H6" s="173" t="s">
        <v>61</v>
      </c>
      <c r="I6" s="171" t="s">
        <v>109</v>
      </c>
      <c r="J6" s="171" t="s">
        <v>60</v>
      </c>
      <c r="K6" s="172" t="s">
        <v>62</v>
      </c>
      <c r="L6" s="171" t="s">
        <v>107</v>
      </c>
      <c r="M6" s="171"/>
      <c r="N6" s="173" t="s">
        <v>130</v>
      </c>
      <c r="O6" s="174"/>
      <c r="P6" s="171" t="s">
        <v>131</v>
      </c>
      <c r="R6" s="171" t="s">
        <v>132</v>
      </c>
      <c r="T6" s="171" t="s">
        <v>135</v>
      </c>
      <c r="U6" s="171"/>
      <c r="V6" s="171" t="s">
        <v>111</v>
      </c>
      <c r="W6" s="273" t="s">
        <v>138</v>
      </c>
      <c r="X6" s="171" t="s">
        <v>129</v>
      </c>
      <c r="Y6" s="171"/>
      <c r="Z6" s="173" t="s">
        <v>126</v>
      </c>
      <c r="AA6" s="171"/>
      <c r="AB6" s="173" t="s">
        <v>124</v>
      </c>
      <c r="AC6" s="267"/>
      <c r="AE6" s="173"/>
    </row>
    <row r="7" spans="1:29" s="179" customFormat="1" ht="18" customHeight="1">
      <c r="A7" s="175"/>
      <c r="B7" s="175"/>
      <c r="C7" s="176"/>
      <c r="D7" s="175"/>
      <c r="E7" s="177"/>
      <c r="F7" s="278" t="s">
        <v>63</v>
      </c>
      <c r="G7" s="178"/>
      <c r="H7" s="175"/>
      <c r="I7" s="175"/>
      <c r="J7" s="175"/>
      <c r="K7" s="177"/>
      <c r="L7" s="278" t="s">
        <v>48</v>
      </c>
      <c r="M7" s="178"/>
      <c r="N7" s="180" t="s">
        <v>64</v>
      </c>
      <c r="O7" s="175"/>
      <c r="P7" s="279" t="s">
        <v>65</v>
      </c>
      <c r="R7" s="175" t="s">
        <v>66</v>
      </c>
      <c r="T7" s="180" t="s">
        <v>67</v>
      </c>
      <c r="U7" s="180"/>
      <c r="V7" s="180"/>
      <c r="W7" s="180"/>
      <c r="X7" s="180"/>
      <c r="Y7" s="180"/>
      <c r="Z7" s="175" t="s">
        <v>127</v>
      </c>
      <c r="AA7" s="180"/>
      <c r="AC7" s="180"/>
    </row>
    <row r="8" spans="1:30" ht="15">
      <c r="A8" s="181" t="s">
        <v>0</v>
      </c>
      <c r="B8" s="96">
        <v>6885</v>
      </c>
      <c r="C8" s="115">
        <v>2323000</v>
      </c>
      <c r="D8" s="124">
        <f>-ROUND(C8/3,-3)</f>
        <v>-774000</v>
      </c>
      <c r="E8" s="182">
        <v>60000</v>
      </c>
      <c r="F8" s="115">
        <f aca="true" t="shared" si="0" ref="F8:F30">SUM(C8:E8)</f>
        <v>1609000</v>
      </c>
      <c r="G8" s="115"/>
      <c r="H8" s="111">
        <v>88</v>
      </c>
      <c r="I8" s="124">
        <v>29000</v>
      </c>
      <c r="J8" s="124">
        <f>-ROUND(I8/3,-3)</f>
        <v>-10000</v>
      </c>
      <c r="K8" s="183">
        <v>23000</v>
      </c>
      <c r="L8" s="115">
        <f>SUM(I8:K8)</f>
        <v>42000</v>
      </c>
      <c r="M8" s="115"/>
      <c r="N8" s="118">
        <f aca="true" t="shared" si="1" ref="N8:N30">B8+H8</f>
        <v>6973</v>
      </c>
      <c r="O8" s="124"/>
      <c r="P8" s="127">
        <f>C8+I8+E8+K8</f>
        <v>2435000</v>
      </c>
      <c r="Q8" s="127"/>
      <c r="R8" s="127">
        <f aca="true" t="shared" si="2" ref="R8:R30">D8+J8</f>
        <v>-784000</v>
      </c>
      <c r="S8" s="111"/>
      <c r="T8" s="115">
        <f>SUM(P8:R8)</f>
        <v>1651000</v>
      </c>
      <c r="U8" s="115"/>
      <c r="V8" s="115">
        <v>4678000</v>
      </c>
      <c r="W8" s="115">
        <v>-1559000</v>
      </c>
      <c r="X8" s="115">
        <f>V8+W8</f>
        <v>3119000</v>
      </c>
      <c r="Y8" s="115"/>
      <c r="Z8" s="123">
        <f>P8+V8</f>
        <v>7113000</v>
      </c>
      <c r="AA8" s="115"/>
      <c r="AB8" s="127">
        <f>ROUND(69997/100,0)*100</f>
        <v>70000</v>
      </c>
      <c r="AC8" s="115"/>
      <c r="AD8" s="123"/>
    </row>
    <row r="9" spans="1:30" ht="15">
      <c r="A9" s="186" t="s">
        <v>1</v>
      </c>
      <c r="B9" s="96">
        <v>2467</v>
      </c>
      <c r="C9" s="96">
        <v>845000</v>
      </c>
      <c r="D9" s="187">
        <f aca="true" t="shared" si="3" ref="D9:D30">-ROUND(C9/3,-3)</f>
        <v>-282000</v>
      </c>
      <c r="E9" s="188">
        <v>9000</v>
      </c>
      <c r="F9" s="96">
        <f t="shared" si="0"/>
        <v>572000</v>
      </c>
      <c r="G9" s="96"/>
      <c r="H9" s="111">
        <v>8</v>
      </c>
      <c r="I9" s="118">
        <v>3000</v>
      </c>
      <c r="J9" s="187">
        <f aca="true" t="shared" si="4" ref="J9:J30">-ROUND(I9/3,-3)</f>
        <v>-1000</v>
      </c>
      <c r="K9" s="189">
        <v>34000</v>
      </c>
      <c r="L9" s="96">
        <f aca="true" t="shared" si="5" ref="L9:L29">SUM(I9:K9)</f>
        <v>36000</v>
      </c>
      <c r="M9" s="96"/>
      <c r="N9" s="118">
        <f t="shared" si="1"/>
        <v>2475</v>
      </c>
      <c r="O9" s="118"/>
      <c r="P9" s="111">
        <f>C9+I9+E9+K9</f>
        <v>891000</v>
      </c>
      <c r="Q9" s="111"/>
      <c r="R9" s="111">
        <f t="shared" si="2"/>
        <v>-283000</v>
      </c>
      <c r="S9" s="111"/>
      <c r="T9" s="96">
        <f>SUM(P9:R9)</f>
        <v>608000</v>
      </c>
      <c r="U9" s="96"/>
      <c r="V9" s="96">
        <v>1863000</v>
      </c>
      <c r="W9" s="96">
        <v>-621000</v>
      </c>
      <c r="X9" s="96">
        <f aca="true" t="shared" si="6" ref="X9:X30">V9+W9</f>
        <v>1242000</v>
      </c>
      <c r="Y9" s="96"/>
      <c r="Z9" s="107">
        <f>P9+V9</f>
        <v>2754000</v>
      </c>
      <c r="AA9" s="96"/>
      <c r="AB9" s="111">
        <f>ROUND(6600/100,0)*100</f>
        <v>6600</v>
      </c>
      <c r="AC9" s="96"/>
      <c r="AD9" s="107"/>
    </row>
    <row r="10" spans="1:30" ht="15">
      <c r="A10" s="186" t="s">
        <v>2</v>
      </c>
      <c r="B10" s="96">
        <v>14712</v>
      </c>
      <c r="C10" s="96">
        <v>4683000</v>
      </c>
      <c r="D10" s="187">
        <f t="shared" si="3"/>
        <v>-1561000</v>
      </c>
      <c r="E10" s="188">
        <v>-1061000</v>
      </c>
      <c r="F10" s="96">
        <f t="shared" si="0"/>
        <v>2061000</v>
      </c>
      <c r="G10" s="96"/>
      <c r="H10" s="111">
        <v>492</v>
      </c>
      <c r="I10" s="118">
        <v>178000</v>
      </c>
      <c r="J10" s="187">
        <f t="shared" si="4"/>
        <v>-59000</v>
      </c>
      <c r="K10" s="189">
        <v>232000</v>
      </c>
      <c r="L10" s="96">
        <f>SUM(I10:K10)</f>
        <v>351000</v>
      </c>
      <c r="M10" s="96"/>
      <c r="N10" s="118">
        <f t="shared" si="1"/>
        <v>15204</v>
      </c>
      <c r="O10" s="118"/>
      <c r="P10" s="111">
        <f>C10+I10+E10+K10</f>
        <v>4032000</v>
      </c>
      <c r="Q10" s="111"/>
      <c r="R10" s="111">
        <f t="shared" si="2"/>
        <v>-1620000</v>
      </c>
      <c r="S10" s="111"/>
      <c r="T10" s="96">
        <f>SUM(P10:R10)</f>
        <v>2412000</v>
      </c>
      <c r="U10" s="96"/>
      <c r="V10" s="96">
        <v>9482000</v>
      </c>
      <c r="W10" s="96">
        <v>-3161000</v>
      </c>
      <c r="X10" s="96">
        <f t="shared" si="6"/>
        <v>6321000</v>
      </c>
      <c r="Y10" s="96"/>
      <c r="Z10" s="107">
        <f aca="true" t="shared" si="7" ref="Z10:Z30">P10+V10</f>
        <v>13514000</v>
      </c>
      <c r="AA10" s="96"/>
      <c r="AB10" s="111">
        <f>ROUND(389987/100,0)*100</f>
        <v>390000</v>
      </c>
      <c r="AC10" s="96"/>
      <c r="AD10" s="107"/>
    </row>
    <row r="11" spans="1:30" ht="15">
      <c r="A11" s="186" t="s">
        <v>3</v>
      </c>
      <c r="B11" s="96">
        <v>9349</v>
      </c>
      <c r="C11" s="96">
        <v>3642000</v>
      </c>
      <c r="D11" s="187">
        <f t="shared" si="3"/>
        <v>-1214000</v>
      </c>
      <c r="E11" s="188">
        <v>109000</v>
      </c>
      <c r="F11" s="96">
        <f t="shared" si="0"/>
        <v>2537000</v>
      </c>
      <c r="G11" s="96"/>
      <c r="H11" s="111">
        <v>100</v>
      </c>
      <c r="I11" s="118">
        <v>39000</v>
      </c>
      <c r="J11" s="187">
        <f t="shared" si="4"/>
        <v>-13000</v>
      </c>
      <c r="K11" s="189">
        <v>-41000</v>
      </c>
      <c r="L11" s="96">
        <f>SUM(I11:K11)</f>
        <v>-15000</v>
      </c>
      <c r="M11" s="96"/>
      <c r="N11" s="118">
        <f t="shared" si="1"/>
        <v>9449</v>
      </c>
      <c r="O11" s="118"/>
      <c r="P11" s="111">
        <f aca="true" t="shared" si="8" ref="P11:P30">C11+I11+E11+K11</f>
        <v>3749000</v>
      </c>
      <c r="Q11" s="111"/>
      <c r="R11" s="111">
        <f t="shared" si="2"/>
        <v>-1227000</v>
      </c>
      <c r="S11" s="111"/>
      <c r="T11" s="96">
        <f>SUM(P11:R11)</f>
        <v>2522000</v>
      </c>
      <c r="U11" s="96"/>
      <c r="V11" s="96">
        <v>6922000</v>
      </c>
      <c r="W11" s="96">
        <v>-2307000</v>
      </c>
      <c r="X11" s="96">
        <f t="shared" si="6"/>
        <v>4615000</v>
      </c>
      <c r="Y11" s="96"/>
      <c r="Z11" s="107">
        <f t="shared" si="7"/>
        <v>10671000</v>
      </c>
      <c r="AA11" s="96"/>
      <c r="AB11" s="111">
        <f>ROUND(79253/100,0)*100</f>
        <v>79300</v>
      </c>
      <c r="AC11" s="96"/>
      <c r="AD11" s="107"/>
    </row>
    <row r="12" spans="1:30" ht="15">
      <c r="A12" s="186" t="s">
        <v>29</v>
      </c>
      <c r="B12" s="96">
        <v>11764</v>
      </c>
      <c r="C12" s="96">
        <v>4096000</v>
      </c>
      <c r="D12" s="187">
        <f t="shared" si="3"/>
        <v>-1365000</v>
      </c>
      <c r="E12" s="188">
        <v>256000</v>
      </c>
      <c r="F12" s="96">
        <f t="shared" si="0"/>
        <v>2987000</v>
      </c>
      <c r="G12" s="96"/>
      <c r="H12" s="111">
        <v>838</v>
      </c>
      <c r="I12" s="118">
        <v>286000</v>
      </c>
      <c r="J12" s="187">
        <f t="shared" si="4"/>
        <v>-95000</v>
      </c>
      <c r="K12" s="189">
        <v>234000</v>
      </c>
      <c r="L12" s="96">
        <f t="shared" si="5"/>
        <v>425000</v>
      </c>
      <c r="M12" s="96"/>
      <c r="N12" s="118">
        <f t="shared" si="1"/>
        <v>12602</v>
      </c>
      <c r="O12" s="118"/>
      <c r="P12" s="111">
        <f t="shared" si="8"/>
        <v>4872000</v>
      </c>
      <c r="Q12" s="111"/>
      <c r="R12" s="111">
        <f t="shared" si="2"/>
        <v>-1460000</v>
      </c>
      <c r="S12" s="111"/>
      <c r="T12" s="96">
        <f aca="true" t="shared" si="9" ref="T12:T30">SUM(P12:R12)</f>
        <v>3412000</v>
      </c>
      <c r="U12" s="96"/>
      <c r="V12" s="96">
        <v>7606000</v>
      </c>
      <c r="W12" s="96">
        <v>-2535000</v>
      </c>
      <c r="X12" s="96">
        <f t="shared" si="6"/>
        <v>5071000</v>
      </c>
      <c r="Y12" s="96"/>
      <c r="Z12" s="107">
        <f t="shared" si="7"/>
        <v>12478000</v>
      </c>
      <c r="AA12" s="96"/>
      <c r="AB12" s="111">
        <f>ROUND(663362/100,0)*100</f>
        <v>663400</v>
      </c>
      <c r="AC12" s="96"/>
      <c r="AD12" s="107"/>
    </row>
    <row r="13" spans="1:30" ht="15">
      <c r="A13" s="186" t="s">
        <v>4</v>
      </c>
      <c r="B13" s="96">
        <v>18185</v>
      </c>
      <c r="C13" s="96">
        <v>6229000</v>
      </c>
      <c r="D13" s="187">
        <f t="shared" si="3"/>
        <v>-2076000</v>
      </c>
      <c r="E13" s="188">
        <v>762000</v>
      </c>
      <c r="F13" s="96">
        <f t="shared" si="0"/>
        <v>4915000</v>
      </c>
      <c r="G13" s="96"/>
      <c r="H13" s="111">
        <v>555</v>
      </c>
      <c r="I13" s="118">
        <v>211000</v>
      </c>
      <c r="J13" s="187">
        <f t="shared" si="4"/>
        <v>-70000</v>
      </c>
      <c r="K13" s="189">
        <v>-8000</v>
      </c>
      <c r="L13" s="96">
        <f t="shared" si="5"/>
        <v>133000</v>
      </c>
      <c r="M13" s="96"/>
      <c r="N13" s="118">
        <f t="shared" si="1"/>
        <v>18740</v>
      </c>
      <c r="O13" s="118"/>
      <c r="P13" s="111">
        <f t="shared" si="8"/>
        <v>7194000</v>
      </c>
      <c r="Q13" s="111"/>
      <c r="R13" s="111">
        <f t="shared" si="2"/>
        <v>-2146000</v>
      </c>
      <c r="S13" s="111"/>
      <c r="T13" s="96">
        <f t="shared" si="9"/>
        <v>5048000</v>
      </c>
      <c r="U13" s="96"/>
      <c r="V13" s="96">
        <v>12432000</v>
      </c>
      <c r="W13" s="96">
        <v>-4144000</v>
      </c>
      <c r="X13" s="96">
        <f t="shared" si="6"/>
        <v>8288000</v>
      </c>
      <c r="Y13" s="96"/>
      <c r="Z13" s="107">
        <f t="shared" si="7"/>
        <v>19626000</v>
      </c>
      <c r="AA13" s="96"/>
      <c r="AB13" s="111">
        <f>ROUND(439124/100,0)*100</f>
        <v>439100</v>
      </c>
      <c r="AC13" s="96"/>
      <c r="AD13" s="107"/>
    </row>
    <row r="14" spans="1:30" ht="15">
      <c r="A14" s="186" t="s">
        <v>5</v>
      </c>
      <c r="B14" s="96">
        <v>27190</v>
      </c>
      <c r="C14" s="96">
        <v>10254000</v>
      </c>
      <c r="D14" s="187">
        <f t="shared" si="3"/>
        <v>-3418000</v>
      </c>
      <c r="E14" s="188">
        <v>-1127000</v>
      </c>
      <c r="F14" s="96">
        <f t="shared" si="0"/>
        <v>5709000</v>
      </c>
      <c r="G14" s="96"/>
      <c r="H14" s="111">
        <v>920</v>
      </c>
      <c r="I14" s="118">
        <v>379000</v>
      </c>
      <c r="J14" s="187">
        <f t="shared" si="4"/>
        <v>-126000</v>
      </c>
      <c r="K14" s="189">
        <v>286000</v>
      </c>
      <c r="L14" s="96">
        <f t="shared" si="5"/>
        <v>539000</v>
      </c>
      <c r="M14" s="96"/>
      <c r="N14" s="118">
        <f t="shared" si="1"/>
        <v>28110</v>
      </c>
      <c r="O14" s="118"/>
      <c r="P14" s="111">
        <f t="shared" si="8"/>
        <v>9792000</v>
      </c>
      <c r="Q14" s="111"/>
      <c r="R14" s="111">
        <f t="shared" si="2"/>
        <v>-3544000</v>
      </c>
      <c r="S14" s="111"/>
      <c r="T14" s="96">
        <f t="shared" si="9"/>
        <v>6248000</v>
      </c>
      <c r="U14" s="96"/>
      <c r="V14" s="96">
        <v>19026000</v>
      </c>
      <c r="W14" s="96">
        <v>-6342000</v>
      </c>
      <c r="X14" s="96">
        <f t="shared" si="6"/>
        <v>12684000</v>
      </c>
      <c r="Y14" s="96"/>
      <c r="Z14" s="107">
        <f t="shared" si="7"/>
        <v>28818000</v>
      </c>
      <c r="AA14" s="96"/>
      <c r="AB14" s="111">
        <f>ROUND(728944/100,0)*100</f>
        <v>728900</v>
      </c>
      <c r="AC14" s="96"/>
      <c r="AD14" s="107"/>
    </row>
    <row r="15" spans="1:30" ht="15">
      <c r="A15" s="186" t="s">
        <v>6</v>
      </c>
      <c r="B15" s="96">
        <v>7034</v>
      </c>
      <c r="C15" s="96">
        <v>2269000</v>
      </c>
      <c r="D15" s="187">
        <f t="shared" si="3"/>
        <v>-756000</v>
      </c>
      <c r="E15" s="188">
        <v>239000</v>
      </c>
      <c r="F15" s="96">
        <f t="shared" si="0"/>
        <v>1752000</v>
      </c>
      <c r="G15" s="96"/>
      <c r="H15" s="111">
        <v>186</v>
      </c>
      <c r="I15" s="118">
        <v>65000</v>
      </c>
      <c r="J15" s="187">
        <f t="shared" si="4"/>
        <v>-22000</v>
      </c>
      <c r="K15" s="189">
        <v>-36000</v>
      </c>
      <c r="L15" s="96">
        <f t="shared" si="5"/>
        <v>7000</v>
      </c>
      <c r="M15" s="96"/>
      <c r="N15" s="118">
        <f t="shared" si="1"/>
        <v>7220</v>
      </c>
      <c r="O15" s="118"/>
      <c r="P15" s="111">
        <f t="shared" si="8"/>
        <v>2537000</v>
      </c>
      <c r="Q15" s="111"/>
      <c r="R15" s="111">
        <f t="shared" si="2"/>
        <v>-778000</v>
      </c>
      <c r="S15" s="111"/>
      <c r="T15" s="96">
        <f t="shared" si="9"/>
        <v>1759000</v>
      </c>
      <c r="U15" s="96"/>
      <c r="V15" s="96">
        <v>4583000</v>
      </c>
      <c r="W15" s="96">
        <v>-1528000</v>
      </c>
      <c r="X15" s="96">
        <f t="shared" si="6"/>
        <v>3055000</v>
      </c>
      <c r="Y15" s="96"/>
      <c r="Z15" s="107">
        <f t="shared" si="7"/>
        <v>7120000</v>
      </c>
      <c r="AA15" s="96"/>
      <c r="AB15" s="111">
        <f>ROUND(147477/100,0)*100</f>
        <v>147500</v>
      </c>
      <c r="AC15" s="96"/>
      <c r="AD15" s="107"/>
    </row>
    <row r="16" spans="1:30" ht="15">
      <c r="A16" s="186" t="s">
        <v>7</v>
      </c>
      <c r="B16" s="96">
        <v>28100</v>
      </c>
      <c r="C16" s="96">
        <v>10355000</v>
      </c>
      <c r="D16" s="187">
        <f t="shared" si="3"/>
        <v>-3452000</v>
      </c>
      <c r="E16" s="188">
        <v>-265000</v>
      </c>
      <c r="F16" s="96">
        <f t="shared" si="0"/>
        <v>6638000</v>
      </c>
      <c r="G16" s="96"/>
      <c r="H16" s="111">
        <v>1330</v>
      </c>
      <c r="I16" s="118">
        <v>517000</v>
      </c>
      <c r="J16" s="187">
        <f t="shared" si="4"/>
        <v>-172000</v>
      </c>
      <c r="K16" s="189">
        <v>169000</v>
      </c>
      <c r="L16" s="96">
        <f t="shared" si="5"/>
        <v>514000</v>
      </c>
      <c r="M16" s="96"/>
      <c r="N16" s="118">
        <f t="shared" si="1"/>
        <v>29430</v>
      </c>
      <c r="O16" s="118"/>
      <c r="P16" s="111">
        <f t="shared" si="8"/>
        <v>10776000</v>
      </c>
      <c r="Q16" s="111"/>
      <c r="R16" s="111">
        <f t="shared" si="2"/>
        <v>-3624000</v>
      </c>
      <c r="S16" s="111"/>
      <c r="T16" s="96">
        <f t="shared" si="9"/>
        <v>7152000</v>
      </c>
      <c r="U16" s="96"/>
      <c r="V16" s="96">
        <v>19564000</v>
      </c>
      <c r="W16" s="96">
        <v>-6521000</v>
      </c>
      <c r="X16" s="96">
        <f t="shared" si="6"/>
        <v>13043000</v>
      </c>
      <c r="Y16" s="96"/>
      <c r="Z16" s="107">
        <f t="shared" si="7"/>
        <v>30340000</v>
      </c>
      <c r="AA16" s="96"/>
      <c r="AB16" s="111">
        <f>ROUND(1053347/100,0)*100</f>
        <v>1053300</v>
      </c>
      <c r="AC16" s="96"/>
      <c r="AD16" s="107"/>
    </row>
    <row r="17" spans="1:30" ht="15">
      <c r="A17" s="186" t="s">
        <v>8</v>
      </c>
      <c r="B17" s="96">
        <v>17000</v>
      </c>
      <c r="C17" s="96">
        <v>6342000</v>
      </c>
      <c r="D17" s="187">
        <f t="shared" si="3"/>
        <v>-2114000</v>
      </c>
      <c r="E17" s="188">
        <v>-151000</v>
      </c>
      <c r="F17" s="96">
        <f t="shared" si="0"/>
        <v>4077000</v>
      </c>
      <c r="G17" s="96"/>
      <c r="H17" s="111">
        <v>813</v>
      </c>
      <c r="I17" s="118">
        <v>329000</v>
      </c>
      <c r="J17" s="187">
        <f t="shared" si="4"/>
        <v>-110000</v>
      </c>
      <c r="K17" s="189">
        <v>1102000</v>
      </c>
      <c r="L17" s="96">
        <f t="shared" si="5"/>
        <v>1321000</v>
      </c>
      <c r="M17" s="96"/>
      <c r="N17" s="118">
        <f t="shared" si="1"/>
        <v>17813</v>
      </c>
      <c r="O17" s="118"/>
      <c r="P17" s="111">
        <f t="shared" si="8"/>
        <v>7622000</v>
      </c>
      <c r="Q17" s="111"/>
      <c r="R17" s="111">
        <f t="shared" si="2"/>
        <v>-2224000</v>
      </c>
      <c r="S17" s="111"/>
      <c r="T17" s="96">
        <f t="shared" si="9"/>
        <v>5398000</v>
      </c>
      <c r="U17" s="96"/>
      <c r="V17" s="96">
        <v>11726000</v>
      </c>
      <c r="W17" s="96">
        <v>-3909000</v>
      </c>
      <c r="X17" s="96">
        <f t="shared" si="6"/>
        <v>7817000</v>
      </c>
      <c r="Y17" s="96"/>
      <c r="Z17" s="107">
        <f t="shared" si="7"/>
        <v>19348000</v>
      </c>
      <c r="AA17" s="96"/>
      <c r="AB17" s="111">
        <f>ROUND(644164/100,0)*100</f>
        <v>644200</v>
      </c>
      <c r="AC17" s="96"/>
      <c r="AD17" s="107"/>
    </row>
    <row r="18" spans="1:30" ht="15">
      <c r="A18" s="186" t="s">
        <v>9</v>
      </c>
      <c r="B18" s="96">
        <v>870</v>
      </c>
      <c r="C18" s="96">
        <v>205000</v>
      </c>
      <c r="D18" s="187">
        <f t="shared" si="3"/>
        <v>-68000</v>
      </c>
      <c r="E18" s="188">
        <v>29000</v>
      </c>
      <c r="F18" s="96">
        <f t="shared" si="0"/>
        <v>166000</v>
      </c>
      <c r="G18" s="96"/>
      <c r="H18" s="111">
        <v>68</v>
      </c>
      <c r="I18" s="118">
        <v>16000</v>
      </c>
      <c r="J18" s="187">
        <f t="shared" si="4"/>
        <v>-5000</v>
      </c>
      <c r="K18" s="189">
        <v>-153000</v>
      </c>
      <c r="L18" s="96">
        <f t="shared" si="5"/>
        <v>-142000</v>
      </c>
      <c r="M18" s="96"/>
      <c r="N18" s="118">
        <f t="shared" si="1"/>
        <v>938</v>
      </c>
      <c r="O18" s="118"/>
      <c r="P18" s="111">
        <f t="shared" si="8"/>
        <v>97000</v>
      </c>
      <c r="Q18" s="111"/>
      <c r="R18" s="111">
        <f t="shared" si="2"/>
        <v>-73000</v>
      </c>
      <c r="S18" s="111"/>
      <c r="T18" s="96">
        <f t="shared" si="9"/>
        <v>24000</v>
      </c>
      <c r="U18" s="96"/>
      <c r="V18" s="96">
        <v>483000</v>
      </c>
      <c r="W18" s="96">
        <v>-161000</v>
      </c>
      <c r="X18" s="96">
        <f t="shared" si="6"/>
        <v>322000</v>
      </c>
      <c r="Y18" s="96"/>
      <c r="Z18" s="107">
        <f t="shared" si="7"/>
        <v>580000</v>
      </c>
      <c r="AA18" s="96"/>
      <c r="AB18" s="111">
        <f>ROUND(53605/100,0)*100</f>
        <v>53600</v>
      </c>
      <c r="AC18" s="96"/>
      <c r="AD18" s="107"/>
    </row>
    <row r="19" spans="1:30" ht="15">
      <c r="A19" s="186" t="s">
        <v>10</v>
      </c>
      <c r="B19" s="96">
        <v>3640</v>
      </c>
      <c r="C19" s="96">
        <v>1155000</v>
      </c>
      <c r="D19" s="187">
        <f t="shared" si="3"/>
        <v>-385000</v>
      </c>
      <c r="E19" s="188">
        <v>-132000</v>
      </c>
      <c r="F19" s="96">
        <f t="shared" si="0"/>
        <v>638000</v>
      </c>
      <c r="G19" s="96"/>
      <c r="H19" s="111">
        <v>98</v>
      </c>
      <c r="I19" s="118">
        <v>31000</v>
      </c>
      <c r="J19" s="187">
        <f t="shared" si="4"/>
        <v>-10000</v>
      </c>
      <c r="K19" s="189">
        <v>15000</v>
      </c>
      <c r="L19" s="96">
        <f t="shared" si="5"/>
        <v>36000</v>
      </c>
      <c r="M19" s="96"/>
      <c r="N19" s="118">
        <f t="shared" si="1"/>
        <v>3738</v>
      </c>
      <c r="O19" s="118"/>
      <c r="P19" s="111">
        <f t="shared" si="8"/>
        <v>1069000</v>
      </c>
      <c r="Q19" s="111"/>
      <c r="R19" s="111">
        <f t="shared" si="2"/>
        <v>-395000</v>
      </c>
      <c r="S19" s="111"/>
      <c r="T19" s="96">
        <f t="shared" si="9"/>
        <v>674000</v>
      </c>
      <c r="U19" s="96"/>
      <c r="V19" s="96">
        <v>2528000</v>
      </c>
      <c r="W19" s="96">
        <v>-842000</v>
      </c>
      <c r="X19" s="96">
        <f t="shared" si="6"/>
        <v>1686000</v>
      </c>
      <c r="Y19" s="96"/>
      <c r="Z19" s="107">
        <f t="shared" si="7"/>
        <v>3597000</v>
      </c>
      <c r="AA19" s="96"/>
      <c r="AB19" s="111">
        <f>ROUND(77524/100,0)*100</f>
        <v>77500</v>
      </c>
      <c r="AC19" s="96"/>
      <c r="AD19" s="107"/>
    </row>
    <row r="20" spans="1:30" ht="15">
      <c r="A20" s="186" t="s">
        <v>11</v>
      </c>
      <c r="B20" s="96">
        <v>25733</v>
      </c>
      <c r="C20" s="96">
        <v>9707000</v>
      </c>
      <c r="D20" s="187">
        <f t="shared" si="3"/>
        <v>-3236000</v>
      </c>
      <c r="E20" s="188">
        <v>-260000</v>
      </c>
      <c r="F20" s="96">
        <f t="shared" si="0"/>
        <v>6211000</v>
      </c>
      <c r="G20" s="96"/>
      <c r="H20" s="111">
        <v>1367</v>
      </c>
      <c r="I20" s="118">
        <v>533000</v>
      </c>
      <c r="J20" s="187">
        <f t="shared" si="4"/>
        <v>-178000</v>
      </c>
      <c r="K20" s="189">
        <v>766000</v>
      </c>
      <c r="L20" s="96">
        <f t="shared" si="5"/>
        <v>1121000</v>
      </c>
      <c r="M20" s="96"/>
      <c r="N20" s="118">
        <f t="shared" si="1"/>
        <v>27100</v>
      </c>
      <c r="O20" s="118"/>
      <c r="P20" s="111">
        <f t="shared" si="8"/>
        <v>10746000</v>
      </c>
      <c r="Q20" s="111"/>
      <c r="R20" s="111">
        <f t="shared" si="2"/>
        <v>-3414000</v>
      </c>
      <c r="S20" s="111"/>
      <c r="T20" s="96">
        <f t="shared" si="9"/>
        <v>7332000</v>
      </c>
      <c r="U20" s="96"/>
      <c r="V20" s="96">
        <v>18789000</v>
      </c>
      <c r="W20" s="96">
        <v>-6263000</v>
      </c>
      <c r="X20" s="96">
        <f t="shared" si="6"/>
        <v>12526000</v>
      </c>
      <c r="Y20" s="96"/>
      <c r="Z20" s="107">
        <f t="shared" si="7"/>
        <v>29535000</v>
      </c>
      <c r="AA20" s="96"/>
      <c r="AB20" s="111">
        <f>ROUND(1082809/100,0)*100</f>
        <v>1082800</v>
      </c>
      <c r="AC20" s="96"/>
      <c r="AD20" s="107"/>
    </row>
    <row r="21" spans="1:30" ht="15">
      <c r="A21" s="186" t="s">
        <v>12</v>
      </c>
      <c r="B21" s="96">
        <v>17816</v>
      </c>
      <c r="C21" s="96">
        <v>6312000</v>
      </c>
      <c r="D21" s="187">
        <f t="shared" si="3"/>
        <v>-2104000</v>
      </c>
      <c r="E21" s="188">
        <v>815000</v>
      </c>
      <c r="F21" s="96">
        <f t="shared" si="0"/>
        <v>5023000</v>
      </c>
      <c r="G21" s="96"/>
      <c r="H21" s="111">
        <v>784</v>
      </c>
      <c r="I21" s="118">
        <v>279000</v>
      </c>
      <c r="J21" s="187">
        <f t="shared" si="4"/>
        <v>-93000</v>
      </c>
      <c r="K21" s="189">
        <v>419000</v>
      </c>
      <c r="L21" s="96">
        <f t="shared" si="5"/>
        <v>605000</v>
      </c>
      <c r="M21" s="96"/>
      <c r="N21" s="118">
        <f t="shared" si="1"/>
        <v>18600</v>
      </c>
      <c r="O21" s="118"/>
      <c r="P21" s="111">
        <f t="shared" si="8"/>
        <v>7825000</v>
      </c>
      <c r="Q21" s="111"/>
      <c r="R21" s="111">
        <f t="shared" si="2"/>
        <v>-2197000</v>
      </c>
      <c r="S21" s="111"/>
      <c r="T21" s="96">
        <f t="shared" si="9"/>
        <v>5628000</v>
      </c>
      <c r="U21" s="96"/>
      <c r="V21" s="96">
        <v>11937000</v>
      </c>
      <c r="W21" s="96">
        <v>-3979000</v>
      </c>
      <c r="X21" s="96">
        <f t="shared" si="6"/>
        <v>7958000</v>
      </c>
      <c r="Y21" s="96"/>
      <c r="Z21" s="107">
        <f t="shared" si="7"/>
        <v>19762000</v>
      </c>
      <c r="AA21" s="96"/>
      <c r="AB21" s="111">
        <f>ROUND(621051/100,0)*100</f>
        <v>621100</v>
      </c>
      <c r="AC21" s="96"/>
      <c r="AD21" s="107"/>
    </row>
    <row r="22" spans="1:30" ht="15">
      <c r="A22" s="186" t="s">
        <v>13</v>
      </c>
      <c r="B22" s="96">
        <v>22970</v>
      </c>
      <c r="C22" s="96">
        <v>8159000</v>
      </c>
      <c r="D22" s="187">
        <f t="shared" si="3"/>
        <v>-2720000</v>
      </c>
      <c r="E22" s="188">
        <v>305000</v>
      </c>
      <c r="F22" s="96">
        <f t="shared" si="0"/>
        <v>5744000</v>
      </c>
      <c r="G22" s="96"/>
      <c r="H22" s="111">
        <v>443</v>
      </c>
      <c r="I22" s="118">
        <v>188000</v>
      </c>
      <c r="J22" s="187">
        <f t="shared" si="4"/>
        <v>-63000</v>
      </c>
      <c r="K22" s="189">
        <v>104000</v>
      </c>
      <c r="L22" s="96">
        <f t="shared" si="5"/>
        <v>229000</v>
      </c>
      <c r="M22" s="96"/>
      <c r="N22" s="118">
        <f t="shared" si="1"/>
        <v>23413</v>
      </c>
      <c r="O22" s="118"/>
      <c r="P22" s="111">
        <f t="shared" si="8"/>
        <v>8756000</v>
      </c>
      <c r="Q22" s="111"/>
      <c r="R22" s="111">
        <f t="shared" si="2"/>
        <v>-2783000</v>
      </c>
      <c r="S22" s="111"/>
      <c r="T22" s="96">
        <f t="shared" si="9"/>
        <v>5973000</v>
      </c>
      <c r="U22" s="96"/>
      <c r="V22" s="96">
        <v>15701000</v>
      </c>
      <c r="W22" s="96">
        <v>-5234000</v>
      </c>
      <c r="X22" s="96">
        <f t="shared" si="6"/>
        <v>10467000</v>
      </c>
      <c r="Y22" s="96"/>
      <c r="Z22" s="107">
        <f t="shared" si="7"/>
        <v>24457000</v>
      </c>
      <c r="AA22" s="96"/>
      <c r="AB22" s="111">
        <f>ROUND(350849/100,0)*100</f>
        <v>350800</v>
      </c>
      <c r="AC22" s="96"/>
      <c r="AD22" s="107"/>
    </row>
    <row r="23" spans="1:30" ht="15">
      <c r="A23" s="186" t="s">
        <v>14</v>
      </c>
      <c r="B23" s="96">
        <v>14415</v>
      </c>
      <c r="C23" s="96">
        <v>5222000</v>
      </c>
      <c r="D23" s="187">
        <f t="shared" si="3"/>
        <v>-1741000</v>
      </c>
      <c r="E23" s="188">
        <v>262000</v>
      </c>
      <c r="F23" s="96">
        <f t="shared" si="0"/>
        <v>3743000</v>
      </c>
      <c r="G23" s="96"/>
      <c r="H23" s="111">
        <v>382</v>
      </c>
      <c r="I23" s="118">
        <v>149000</v>
      </c>
      <c r="J23" s="187">
        <f t="shared" si="4"/>
        <v>-50000</v>
      </c>
      <c r="K23" s="189">
        <v>14000</v>
      </c>
      <c r="L23" s="96">
        <f t="shared" si="5"/>
        <v>113000</v>
      </c>
      <c r="M23" s="96"/>
      <c r="N23" s="118">
        <f t="shared" si="1"/>
        <v>14797</v>
      </c>
      <c r="O23" s="118"/>
      <c r="P23" s="111">
        <f t="shared" si="8"/>
        <v>5647000</v>
      </c>
      <c r="Q23" s="111"/>
      <c r="R23" s="111">
        <f t="shared" si="2"/>
        <v>-1791000</v>
      </c>
      <c r="S23" s="111"/>
      <c r="T23" s="96">
        <f t="shared" si="9"/>
        <v>3856000</v>
      </c>
      <c r="U23" s="96"/>
      <c r="V23" s="96">
        <v>9811000</v>
      </c>
      <c r="W23" s="96">
        <v>-3271000</v>
      </c>
      <c r="X23" s="96">
        <f t="shared" si="6"/>
        <v>6540000</v>
      </c>
      <c r="Y23" s="96"/>
      <c r="Z23" s="107">
        <f t="shared" si="7"/>
        <v>15458000</v>
      </c>
      <c r="AA23" s="96"/>
      <c r="AB23" s="111">
        <f>ROUND(302680/100,0)*100</f>
        <v>302700</v>
      </c>
      <c r="AC23" s="96"/>
      <c r="AD23" s="107"/>
    </row>
    <row r="24" spans="1:30" ht="18">
      <c r="A24" s="186" t="s">
        <v>15</v>
      </c>
      <c r="B24" s="96">
        <v>28298</v>
      </c>
      <c r="C24" s="96">
        <v>9622000</v>
      </c>
      <c r="D24" s="187">
        <f t="shared" si="3"/>
        <v>-3207000</v>
      </c>
      <c r="E24" s="188">
        <v>-1370000</v>
      </c>
      <c r="F24" s="96">
        <f t="shared" si="0"/>
        <v>5045000</v>
      </c>
      <c r="G24" s="110">
        <v>3</v>
      </c>
      <c r="H24" s="111">
        <v>1589</v>
      </c>
      <c r="I24" s="118">
        <v>630000</v>
      </c>
      <c r="J24" s="187">
        <f t="shared" si="4"/>
        <v>-210000</v>
      </c>
      <c r="K24" s="189">
        <v>1000000</v>
      </c>
      <c r="L24" s="96">
        <f t="shared" si="5"/>
        <v>1420000</v>
      </c>
      <c r="M24" s="96"/>
      <c r="N24" s="118">
        <f t="shared" si="1"/>
        <v>29887</v>
      </c>
      <c r="O24" s="118"/>
      <c r="P24" s="111">
        <f t="shared" si="8"/>
        <v>9882000</v>
      </c>
      <c r="Q24" s="111"/>
      <c r="R24" s="111">
        <f t="shared" si="2"/>
        <v>-3417000</v>
      </c>
      <c r="S24" s="111"/>
      <c r="T24" s="96">
        <f t="shared" si="9"/>
        <v>6465000</v>
      </c>
      <c r="U24" s="96"/>
      <c r="V24" s="96">
        <v>18970000</v>
      </c>
      <c r="W24" s="96">
        <v>-6324000</v>
      </c>
      <c r="X24" s="96">
        <f t="shared" si="6"/>
        <v>12646000</v>
      </c>
      <c r="Y24" s="96"/>
      <c r="Z24" s="107">
        <f t="shared" si="7"/>
        <v>28852000</v>
      </c>
      <c r="AA24" s="96"/>
      <c r="AB24" s="111">
        <f>ROUND(1258204/100,0)*100</f>
        <v>1258200</v>
      </c>
      <c r="AC24" s="96"/>
      <c r="AD24" s="107"/>
    </row>
    <row r="25" spans="1:30" ht="15">
      <c r="A25" s="186" t="s">
        <v>16</v>
      </c>
      <c r="B25" s="96">
        <v>23416</v>
      </c>
      <c r="C25" s="96">
        <v>8335000</v>
      </c>
      <c r="D25" s="187">
        <f t="shared" si="3"/>
        <v>-2778000</v>
      </c>
      <c r="E25" s="188">
        <v>-131000</v>
      </c>
      <c r="F25" s="96">
        <f t="shared" si="0"/>
        <v>5426000</v>
      </c>
      <c r="G25" s="96"/>
      <c r="H25" s="111">
        <v>1628.425</v>
      </c>
      <c r="I25" s="118">
        <v>620000</v>
      </c>
      <c r="J25" s="187">
        <f t="shared" si="4"/>
        <v>-207000</v>
      </c>
      <c r="K25" s="189">
        <v>376000</v>
      </c>
      <c r="L25" s="96">
        <f t="shared" si="5"/>
        <v>789000</v>
      </c>
      <c r="M25" s="96"/>
      <c r="N25" s="118">
        <f t="shared" si="1"/>
        <v>25044.425</v>
      </c>
      <c r="O25" s="118"/>
      <c r="P25" s="111">
        <f t="shared" si="8"/>
        <v>9200000</v>
      </c>
      <c r="Q25" s="111"/>
      <c r="R25" s="111">
        <f t="shared" si="2"/>
        <v>-2985000</v>
      </c>
      <c r="S25" s="111"/>
      <c r="T25" s="96">
        <f t="shared" si="9"/>
        <v>6215000</v>
      </c>
      <c r="U25" s="96"/>
      <c r="V25" s="96">
        <v>16192000</v>
      </c>
      <c r="W25" s="96">
        <v>-5397000</v>
      </c>
      <c r="X25" s="96">
        <f t="shared" si="6"/>
        <v>10795000</v>
      </c>
      <c r="Y25" s="96"/>
      <c r="Z25" s="107">
        <f t="shared" si="7"/>
        <v>25392000</v>
      </c>
      <c r="AA25" s="96"/>
      <c r="AB25" s="111">
        <f>ROUND(1289713/100,0)*100</f>
        <v>1289700</v>
      </c>
      <c r="AC25" s="96"/>
      <c r="AD25" s="107"/>
    </row>
    <row r="26" spans="1:30" ht="15">
      <c r="A26" s="186" t="s">
        <v>17</v>
      </c>
      <c r="B26" s="96">
        <v>22460</v>
      </c>
      <c r="C26" s="96">
        <v>8263000</v>
      </c>
      <c r="D26" s="187">
        <f t="shared" si="3"/>
        <v>-2754000</v>
      </c>
      <c r="E26" s="188">
        <v>-436000</v>
      </c>
      <c r="F26" s="96">
        <f t="shared" si="0"/>
        <v>5073000</v>
      </c>
      <c r="G26" s="96"/>
      <c r="H26" s="111">
        <v>1819</v>
      </c>
      <c r="I26" s="118">
        <v>791000</v>
      </c>
      <c r="J26" s="187">
        <f t="shared" si="4"/>
        <v>-264000</v>
      </c>
      <c r="K26" s="189">
        <v>1147000</v>
      </c>
      <c r="L26" s="96">
        <f t="shared" si="5"/>
        <v>1674000</v>
      </c>
      <c r="M26" s="96"/>
      <c r="N26" s="118">
        <f t="shared" si="1"/>
        <v>24279</v>
      </c>
      <c r="O26" s="118"/>
      <c r="P26" s="111">
        <f t="shared" si="8"/>
        <v>9765000</v>
      </c>
      <c r="Q26" s="111"/>
      <c r="R26" s="111">
        <f t="shared" si="2"/>
        <v>-3018000</v>
      </c>
      <c r="S26" s="111"/>
      <c r="T26" s="96">
        <f t="shared" si="9"/>
        <v>6747000</v>
      </c>
      <c r="U26" s="96"/>
      <c r="V26" s="96">
        <v>17090000</v>
      </c>
      <c r="W26" s="96">
        <v>-5696000</v>
      </c>
      <c r="X26" s="96">
        <f t="shared" si="6"/>
        <v>11394000</v>
      </c>
      <c r="Y26" s="96"/>
      <c r="Z26" s="107">
        <f t="shared" si="7"/>
        <v>26855000</v>
      </c>
      <c r="AA26" s="96"/>
      <c r="AB26" s="111">
        <f>ROUND(1440533/100,0)*100</f>
        <v>1440500</v>
      </c>
      <c r="AC26" s="96"/>
      <c r="AD26" s="107"/>
    </row>
    <row r="27" spans="1:30" ht="15">
      <c r="A27" s="186" t="s">
        <v>18</v>
      </c>
      <c r="B27" s="96">
        <v>17350</v>
      </c>
      <c r="C27" s="96">
        <v>5659000</v>
      </c>
      <c r="D27" s="187">
        <f t="shared" si="3"/>
        <v>-1886000</v>
      </c>
      <c r="E27" s="188">
        <v>364000</v>
      </c>
      <c r="F27" s="96">
        <f t="shared" si="0"/>
        <v>4137000</v>
      </c>
      <c r="G27" s="96"/>
      <c r="H27" s="111">
        <v>721</v>
      </c>
      <c r="I27" s="118">
        <v>238000</v>
      </c>
      <c r="J27" s="187">
        <f t="shared" si="4"/>
        <v>-79000</v>
      </c>
      <c r="K27" s="189">
        <v>80000</v>
      </c>
      <c r="L27" s="96">
        <f t="shared" si="5"/>
        <v>239000</v>
      </c>
      <c r="M27" s="96"/>
      <c r="N27" s="118">
        <f t="shared" si="1"/>
        <v>18071</v>
      </c>
      <c r="O27" s="118"/>
      <c r="P27" s="111">
        <f t="shared" si="8"/>
        <v>6341000</v>
      </c>
      <c r="Q27" s="111"/>
      <c r="R27" s="111">
        <f t="shared" si="2"/>
        <v>-1965000</v>
      </c>
      <c r="S27" s="111"/>
      <c r="T27" s="96">
        <f t="shared" si="9"/>
        <v>4376000</v>
      </c>
      <c r="U27" s="96"/>
      <c r="V27" s="96">
        <v>11127000</v>
      </c>
      <c r="W27" s="96">
        <v>-3709000</v>
      </c>
      <c r="X27" s="96">
        <f t="shared" si="6"/>
        <v>7418000</v>
      </c>
      <c r="Y27" s="96"/>
      <c r="Z27" s="107">
        <f t="shared" si="7"/>
        <v>17468000</v>
      </c>
      <c r="AA27" s="96"/>
      <c r="AB27" s="111">
        <f>ROUND(570772/100,0)*100</f>
        <v>570800</v>
      </c>
      <c r="AC27" s="96"/>
      <c r="AD27" s="107"/>
    </row>
    <row r="28" spans="1:30" ht="15">
      <c r="A28" s="186" t="s">
        <v>19</v>
      </c>
      <c r="B28" s="96">
        <v>7283</v>
      </c>
      <c r="C28" s="96">
        <v>2567000</v>
      </c>
      <c r="D28" s="187">
        <f t="shared" si="3"/>
        <v>-856000</v>
      </c>
      <c r="E28" s="188">
        <v>-96000</v>
      </c>
      <c r="F28" s="96">
        <f t="shared" si="0"/>
        <v>1615000</v>
      </c>
      <c r="G28" s="96"/>
      <c r="H28" s="111">
        <v>108</v>
      </c>
      <c r="I28" s="118">
        <v>41000</v>
      </c>
      <c r="J28" s="187">
        <f t="shared" si="4"/>
        <v>-14000</v>
      </c>
      <c r="K28" s="189">
        <v>58000</v>
      </c>
      <c r="L28" s="96">
        <f t="shared" si="5"/>
        <v>85000</v>
      </c>
      <c r="M28" s="96"/>
      <c r="N28" s="118">
        <f t="shared" si="1"/>
        <v>7391</v>
      </c>
      <c r="O28" s="118"/>
      <c r="P28" s="111">
        <f t="shared" si="8"/>
        <v>2570000</v>
      </c>
      <c r="Q28" s="111"/>
      <c r="R28" s="111">
        <f t="shared" si="2"/>
        <v>-870000</v>
      </c>
      <c r="S28" s="111"/>
      <c r="T28" s="96">
        <f t="shared" si="9"/>
        <v>1700000</v>
      </c>
      <c r="U28" s="96"/>
      <c r="V28" s="96">
        <v>5068000</v>
      </c>
      <c r="W28" s="96">
        <v>-1690000</v>
      </c>
      <c r="X28" s="96">
        <f t="shared" si="6"/>
        <v>3378000</v>
      </c>
      <c r="Y28" s="96"/>
      <c r="Z28" s="107">
        <f t="shared" si="7"/>
        <v>7638000</v>
      </c>
      <c r="AA28" s="96"/>
      <c r="AB28" s="111">
        <f>ROUND(85114/100,0)*100</f>
        <v>85100</v>
      </c>
      <c r="AC28" s="96"/>
      <c r="AD28" s="107"/>
    </row>
    <row r="29" spans="1:30" ht="15">
      <c r="A29" s="186" t="s">
        <v>20</v>
      </c>
      <c r="B29" s="96">
        <v>7500</v>
      </c>
      <c r="C29" s="96">
        <v>2463000</v>
      </c>
      <c r="D29" s="187">
        <f t="shared" si="3"/>
        <v>-821000</v>
      </c>
      <c r="E29" s="188">
        <v>-40000</v>
      </c>
      <c r="F29" s="96">
        <f t="shared" si="0"/>
        <v>1602000</v>
      </c>
      <c r="G29" s="96"/>
      <c r="H29" s="111">
        <v>112</v>
      </c>
      <c r="I29" s="118">
        <v>38000</v>
      </c>
      <c r="J29" s="187">
        <f t="shared" si="4"/>
        <v>-13000</v>
      </c>
      <c r="K29" s="189">
        <v>-3000</v>
      </c>
      <c r="L29" s="96">
        <f t="shared" si="5"/>
        <v>22000</v>
      </c>
      <c r="M29" s="96"/>
      <c r="N29" s="118">
        <f t="shared" si="1"/>
        <v>7612</v>
      </c>
      <c r="O29" s="118"/>
      <c r="P29" s="111">
        <f t="shared" si="8"/>
        <v>2458000</v>
      </c>
      <c r="Q29" s="111"/>
      <c r="R29" s="111">
        <f t="shared" si="2"/>
        <v>-834000</v>
      </c>
      <c r="S29" s="111"/>
      <c r="T29" s="96">
        <f t="shared" si="9"/>
        <v>1624000</v>
      </c>
      <c r="U29" s="96"/>
      <c r="V29" s="96">
        <v>5076000</v>
      </c>
      <c r="W29" s="96">
        <v>-1692000</v>
      </c>
      <c r="X29" s="96">
        <f t="shared" si="6"/>
        <v>3384000</v>
      </c>
      <c r="Y29" s="96"/>
      <c r="Z29" s="107">
        <f t="shared" si="7"/>
        <v>7534000</v>
      </c>
      <c r="AA29" s="96"/>
      <c r="AB29" s="111">
        <f>ROUND(88631/100,0)*100</f>
        <v>88600</v>
      </c>
      <c r="AC29" s="96"/>
      <c r="AD29" s="107"/>
    </row>
    <row r="30" spans="1:30" ht="15">
      <c r="A30" s="186" t="s">
        <v>21</v>
      </c>
      <c r="B30" s="96">
        <v>7090</v>
      </c>
      <c r="C30" s="96">
        <f>2244000+93000</f>
        <v>2337000</v>
      </c>
      <c r="D30" s="187">
        <f t="shared" si="3"/>
        <v>-779000</v>
      </c>
      <c r="E30" s="188">
        <f>98000+33000</f>
        <v>131000</v>
      </c>
      <c r="F30" s="96">
        <f t="shared" si="0"/>
        <v>1689000</v>
      </c>
      <c r="G30" s="96"/>
      <c r="H30" s="111">
        <v>51</v>
      </c>
      <c r="I30" s="118">
        <v>16000</v>
      </c>
      <c r="J30" s="187">
        <f t="shared" si="4"/>
        <v>-5000</v>
      </c>
      <c r="K30" s="189">
        <v>-102000</v>
      </c>
      <c r="L30" s="96">
        <f>SUM(I30:K30)</f>
        <v>-91000</v>
      </c>
      <c r="M30" s="96"/>
      <c r="N30" s="118">
        <f t="shared" si="1"/>
        <v>7141</v>
      </c>
      <c r="O30" s="118"/>
      <c r="P30" s="111">
        <f t="shared" si="8"/>
        <v>2382000</v>
      </c>
      <c r="Q30" s="111"/>
      <c r="R30" s="111">
        <f t="shared" si="2"/>
        <v>-784000</v>
      </c>
      <c r="S30" s="111"/>
      <c r="T30" s="96">
        <f t="shared" si="9"/>
        <v>1598000</v>
      </c>
      <c r="U30" s="96"/>
      <c r="V30" s="96">
        <v>4378000</v>
      </c>
      <c r="W30" s="96">
        <v>-1459000</v>
      </c>
      <c r="X30" s="96">
        <f t="shared" si="6"/>
        <v>2919000</v>
      </c>
      <c r="Y30" s="96"/>
      <c r="Z30" s="107">
        <f t="shared" si="7"/>
        <v>6760000</v>
      </c>
      <c r="AA30" s="96"/>
      <c r="AB30" s="111">
        <f>ROUND(39970/100,0)*100</f>
        <v>40000</v>
      </c>
      <c r="AC30" s="96"/>
      <c r="AD30" s="107"/>
    </row>
    <row r="31" spans="1:29" ht="9" customHeight="1">
      <c r="A31" s="186"/>
      <c r="B31" s="96"/>
      <c r="C31" s="190"/>
      <c r="D31" s="184"/>
      <c r="E31" s="189"/>
      <c r="F31" s="191"/>
      <c r="G31" s="191"/>
      <c r="H31" s="184"/>
      <c r="I31" s="184"/>
      <c r="J31" s="184"/>
      <c r="K31" s="192"/>
      <c r="L31" s="191"/>
      <c r="M31" s="191"/>
      <c r="N31" s="118"/>
      <c r="O31" s="184"/>
      <c r="P31" s="111"/>
      <c r="Q31" s="111"/>
      <c r="R31" s="111"/>
      <c r="S31" s="111"/>
      <c r="T31" s="191"/>
      <c r="U31" s="191"/>
      <c r="V31" s="191"/>
      <c r="W31" s="191"/>
      <c r="X31" s="191"/>
      <c r="Y31" s="191"/>
      <c r="Z31" s="107"/>
      <c r="AA31" s="191"/>
      <c r="AB31" s="111"/>
      <c r="AC31" s="96"/>
    </row>
    <row r="32" spans="1:29" ht="15">
      <c r="A32" s="193" t="s">
        <v>22</v>
      </c>
      <c r="B32" s="120">
        <f>SUM(B8:B31)</f>
        <v>341527</v>
      </c>
      <c r="C32" s="97">
        <f>SUM(C8:C31)</f>
        <v>121044000</v>
      </c>
      <c r="D32" s="97">
        <f>SUM(D8:D31)</f>
        <v>-40347000</v>
      </c>
      <c r="E32" s="194">
        <f>SUM(E8:E31)</f>
        <v>-1728000</v>
      </c>
      <c r="F32" s="97">
        <f>SUM(F8:F31)</f>
        <v>78969000</v>
      </c>
      <c r="G32" s="115"/>
      <c r="H32" s="120">
        <f>SUM(H8:H31)</f>
        <v>14500.425</v>
      </c>
      <c r="I32" s="97">
        <f>SUM(I8:I31)</f>
        <v>5606000</v>
      </c>
      <c r="J32" s="97">
        <f>SUM(J8:J31)</f>
        <v>-1869000</v>
      </c>
      <c r="K32" s="194">
        <f>SUM(K8:K31)</f>
        <v>5716000</v>
      </c>
      <c r="L32" s="97">
        <f>SUM(L8:L31)</f>
        <v>9453000</v>
      </c>
      <c r="M32" s="115"/>
      <c r="N32" s="120">
        <f>SUM(N8:N31)</f>
        <v>356027.425</v>
      </c>
      <c r="O32" s="97"/>
      <c r="P32" s="97">
        <f>SUM(P8:P31)</f>
        <v>130638000</v>
      </c>
      <c r="Q32" s="120"/>
      <c r="R32" s="97">
        <f>SUM(R8:R31)</f>
        <v>-42216000</v>
      </c>
      <c r="S32" s="120"/>
      <c r="T32" s="97">
        <f>SUM(T8:T31)</f>
        <v>88422000</v>
      </c>
      <c r="U32" s="115"/>
      <c r="V32" s="97">
        <f>SUM(V8:V31)</f>
        <v>235032000</v>
      </c>
      <c r="W32" s="97">
        <f>SUM(W8:W31)</f>
        <v>-78344000</v>
      </c>
      <c r="X32" s="97">
        <f>SUM(X8:X31)</f>
        <v>156688000</v>
      </c>
      <c r="Y32" s="115"/>
      <c r="Z32" s="97">
        <f>SUM(Z8:Z31)</f>
        <v>365670000</v>
      </c>
      <c r="AA32" s="115"/>
      <c r="AB32" s="97">
        <f>SUM(AB8:AB31)</f>
        <v>11483700</v>
      </c>
      <c r="AC32" s="115"/>
    </row>
    <row r="33" spans="1:29" ht="9" customHeight="1">
      <c r="A33" s="186"/>
      <c r="B33" s="96"/>
      <c r="C33" s="96"/>
      <c r="D33" s="184"/>
      <c r="E33" s="189"/>
      <c r="F33" s="191"/>
      <c r="G33" s="191"/>
      <c r="H33" s="184"/>
      <c r="I33" s="184"/>
      <c r="J33" s="184"/>
      <c r="K33" s="192"/>
      <c r="L33" s="191"/>
      <c r="M33" s="191"/>
      <c r="N33" s="118"/>
      <c r="O33" s="184"/>
      <c r="P33" s="111"/>
      <c r="Q33" s="111"/>
      <c r="R33" s="111"/>
      <c r="S33" s="111"/>
      <c r="T33" s="191"/>
      <c r="U33" s="191"/>
      <c r="V33" s="191"/>
      <c r="W33" s="191"/>
      <c r="X33" s="191"/>
      <c r="Y33" s="191"/>
      <c r="Z33" s="107"/>
      <c r="AA33" s="191"/>
      <c r="AB33" s="111"/>
      <c r="AC33" s="96"/>
    </row>
    <row r="34" spans="1:30" ht="15">
      <c r="A34" s="186" t="s">
        <v>23</v>
      </c>
      <c r="B34" s="96">
        <v>0</v>
      </c>
      <c r="C34" s="96">
        <v>0</v>
      </c>
      <c r="D34" s="96">
        <v>0</v>
      </c>
      <c r="E34" s="189">
        <v>0</v>
      </c>
      <c r="F34" s="96">
        <f>SUM(C34:E34)</f>
        <v>0</v>
      </c>
      <c r="G34" s="96"/>
      <c r="H34" s="184">
        <v>0</v>
      </c>
      <c r="I34" s="118">
        <v>0</v>
      </c>
      <c r="J34" s="118">
        <f>-ROUND(I34/3/1000,0)*1000</f>
        <v>0</v>
      </c>
      <c r="K34" s="189">
        <v>0</v>
      </c>
      <c r="L34" s="96">
        <f>SUM(I34:K34)</f>
        <v>0</v>
      </c>
      <c r="M34" s="96"/>
      <c r="N34" s="118">
        <f>B34+H34</f>
        <v>0</v>
      </c>
      <c r="O34" s="118"/>
      <c r="P34" s="111">
        <f>C34+I34+E34+K34</f>
        <v>0</v>
      </c>
      <c r="Q34" s="111"/>
      <c r="R34" s="111">
        <f>D34+J34</f>
        <v>0</v>
      </c>
      <c r="S34" s="111"/>
      <c r="T34" s="96">
        <f>SUM(P34:R34)</f>
        <v>0</v>
      </c>
      <c r="U34" s="96"/>
      <c r="V34" s="96">
        <v>0</v>
      </c>
      <c r="W34" s="96">
        <v>0</v>
      </c>
      <c r="X34" s="96">
        <v>0</v>
      </c>
      <c r="Y34" s="96"/>
      <c r="Z34" s="107">
        <f>P34+V34</f>
        <v>0</v>
      </c>
      <c r="AA34" s="96"/>
      <c r="AB34" s="111">
        <v>0</v>
      </c>
      <c r="AC34" s="96"/>
      <c r="AD34" s="107"/>
    </row>
    <row r="35" spans="1:30" ht="15">
      <c r="A35" s="195" t="s">
        <v>34</v>
      </c>
      <c r="B35" s="96">
        <v>650</v>
      </c>
      <c r="C35" s="96">
        <v>325000</v>
      </c>
      <c r="D35" s="187">
        <f>-ROUND(C35/3,-3)</f>
        <v>-108000</v>
      </c>
      <c r="E35" s="189">
        <v>14000</v>
      </c>
      <c r="F35" s="96">
        <f>SUM(C35:E35)</f>
        <v>231000</v>
      </c>
      <c r="G35" s="96"/>
      <c r="H35" s="184">
        <v>1</v>
      </c>
      <c r="I35" s="118">
        <v>0</v>
      </c>
      <c r="J35" s="118">
        <f>-ROUND(I35/3/1000,0)*1000</f>
        <v>0</v>
      </c>
      <c r="K35" s="189">
        <v>2000</v>
      </c>
      <c r="L35" s="96">
        <f>SUM(I35:K35)</f>
        <v>2000</v>
      </c>
      <c r="M35" s="96"/>
      <c r="N35" s="118">
        <f>B35+H35</f>
        <v>651</v>
      </c>
      <c r="O35" s="118"/>
      <c r="P35" s="111">
        <f>C35+I35+E35+K35</f>
        <v>341000</v>
      </c>
      <c r="Q35" s="111"/>
      <c r="R35" s="111">
        <f>D35+J35</f>
        <v>-108000</v>
      </c>
      <c r="S35" s="111"/>
      <c r="T35" s="96">
        <f>SUM(P35:R35)</f>
        <v>233000</v>
      </c>
      <c r="U35" s="96"/>
      <c r="V35" s="96">
        <v>538000</v>
      </c>
      <c r="W35" s="96">
        <v>-179000</v>
      </c>
      <c r="X35" s="96">
        <f>V35+W35</f>
        <v>359000</v>
      </c>
      <c r="Y35" s="96"/>
      <c r="Z35" s="107">
        <f>P35+V35</f>
        <v>879000</v>
      </c>
      <c r="AA35" s="96"/>
      <c r="AB35" s="111">
        <v>0</v>
      </c>
      <c r="AC35" s="96"/>
      <c r="AD35" s="107"/>
    </row>
    <row r="36" spans="1:30" ht="15">
      <c r="A36" s="195" t="s">
        <v>24</v>
      </c>
      <c r="B36" s="96">
        <v>665</v>
      </c>
      <c r="C36" s="96">
        <v>176000</v>
      </c>
      <c r="D36" s="187">
        <f>-ROUND(C36/3,-3)</f>
        <v>-59000</v>
      </c>
      <c r="E36" s="189">
        <v>-85000</v>
      </c>
      <c r="F36" s="96">
        <f>SUM(C36:E36)</f>
        <v>32000</v>
      </c>
      <c r="G36" s="96"/>
      <c r="H36" s="184">
        <v>6</v>
      </c>
      <c r="I36" s="118">
        <v>2000</v>
      </c>
      <c r="J36" s="187">
        <f>-ROUND(I36/3,-3)</f>
        <v>-1000</v>
      </c>
      <c r="K36" s="189">
        <f>-5000</f>
        <v>-5000</v>
      </c>
      <c r="L36" s="96">
        <f>SUM(I36:K36)</f>
        <v>-4000</v>
      </c>
      <c r="M36" s="96"/>
      <c r="N36" s="118">
        <f>B36+H36</f>
        <v>671</v>
      </c>
      <c r="O36" s="118"/>
      <c r="P36" s="111">
        <f>C36+I36+E36+K36</f>
        <v>88000</v>
      </c>
      <c r="Q36" s="111"/>
      <c r="R36" s="111">
        <f>D36+J36</f>
        <v>-60000</v>
      </c>
      <c r="S36" s="111"/>
      <c r="T36" s="96">
        <f>SUM(P36:R36)</f>
        <v>28000</v>
      </c>
      <c r="U36" s="96"/>
      <c r="V36" s="96">
        <v>372000</v>
      </c>
      <c r="W36" s="96">
        <v>-124000</v>
      </c>
      <c r="X36" s="96">
        <f>V36+W36</f>
        <v>248000</v>
      </c>
      <c r="Y36" s="96"/>
      <c r="Z36" s="107">
        <f>P36+V36</f>
        <v>460000</v>
      </c>
      <c r="AA36" s="96"/>
      <c r="AB36" s="111">
        <v>0</v>
      </c>
      <c r="AC36" s="96"/>
      <c r="AD36" s="107"/>
    </row>
    <row r="37" spans="1:30" ht="15">
      <c r="A37" s="195" t="s">
        <v>25</v>
      </c>
      <c r="B37" s="96">
        <v>51</v>
      </c>
      <c r="C37" s="96">
        <v>21000</v>
      </c>
      <c r="D37" s="187">
        <f>-ROUND(C37/3,-3)</f>
        <v>-7000</v>
      </c>
      <c r="E37" s="189">
        <v>-51000</v>
      </c>
      <c r="F37" s="96">
        <f>SUM(C37:E37)</f>
        <v>-37000</v>
      </c>
      <c r="G37" s="96"/>
      <c r="H37" s="184">
        <v>3</v>
      </c>
      <c r="I37" s="118">
        <v>2000</v>
      </c>
      <c r="J37" s="187">
        <f>-ROUND(I37/3,-3)</f>
        <v>-1000</v>
      </c>
      <c r="K37" s="189">
        <f>-12000</f>
        <v>-12000</v>
      </c>
      <c r="L37" s="96">
        <f>SUM(I37:K37)</f>
        <v>-11000</v>
      </c>
      <c r="M37" s="96"/>
      <c r="N37" s="118">
        <f>B37+H37</f>
        <v>54</v>
      </c>
      <c r="O37" s="118"/>
      <c r="P37" s="111">
        <f>C37+I37+E37+K37</f>
        <v>-40000</v>
      </c>
      <c r="Q37" s="111"/>
      <c r="R37" s="111">
        <f>D37+J37</f>
        <v>-8000</v>
      </c>
      <c r="S37" s="111"/>
      <c r="T37" s="96">
        <f>SUM(P37:R37)</f>
        <v>-48000</v>
      </c>
      <c r="U37" s="96"/>
      <c r="V37" s="96">
        <v>0</v>
      </c>
      <c r="W37" s="96">
        <v>0</v>
      </c>
      <c r="X37" s="96">
        <v>0</v>
      </c>
      <c r="Y37" s="96"/>
      <c r="Z37" s="107">
        <f>P37+V37</f>
        <v>-40000</v>
      </c>
      <c r="AA37" s="96"/>
      <c r="AB37" s="111">
        <v>0</v>
      </c>
      <c r="AC37" s="96"/>
      <c r="AD37" s="107"/>
    </row>
    <row r="38" spans="1:30" ht="15">
      <c r="A38" s="186" t="s">
        <v>26</v>
      </c>
      <c r="B38" s="96">
        <v>0</v>
      </c>
      <c r="C38" s="96">
        <v>0</v>
      </c>
      <c r="D38" s="96">
        <v>0</v>
      </c>
      <c r="E38" s="189">
        <v>0</v>
      </c>
      <c r="F38" s="96">
        <f>SUM(C38:E38)</f>
        <v>0</v>
      </c>
      <c r="G38" s="96"/>
      <c r="H38" s="184">
        <v>0</v>
      </c>
      <c r="I38" s="118">
        <v>0</v>
      </c>
      <c r="J38" s="118">
        <f>-ROUND(I38/3/1000,0)*1000</f>
        <v>0</v>
      </c>
      <c r="K38" s="189">
        <v>0</v>
      </c>
      <c r="L38" s="96">
        <f>SUM(I38:K38)</f>
        <v>0</v>
      </c>
      <c r="M38" s="96"/>
      <c r="N38" s="118">
        <f>B38+H38</f>
        <v>0</v>
      </c>
      <c r="O38" s="184"/>
      <c r="P38" s="111">
        <f>C38+I38+E38+K38</f>
        <v>0</v>
      </c>
      <c r="Q38" s="111"/>
      <c r="R38" s="111">
        <f>D38+J38</f>
        <v>0</v>
      </c>
      <c r="S38" s="111"/>
      <c r="T38" s="96">
        <f>SUM(P38:R38)</f>
        <v>0</v>
      </c>
      <c r="U38" s="96"/>
      <c r="V38" s="96">
        <v>0</v>
      </c>
      <c r="W38" s="96">
        <v>0</v>
      </c>
      <c r="X38" s="96">
        <v>0</v>
      </c>
      <c r="Y38" s="96"/>
      <c r="Z38" s="107">
        <f>P38+V38</f>
        <v>0</v>
      </c>
      <c r="AA38" s="96"/>
      <c r="AB38" s="111">
        <v>0</v>
      </c>
      <c r="AC38" s="96"/>
      <c r="AD38" s="107"/>
    </row>
    <row r="39" spans="1:29" ht="9" customHeight="1">
      <c r="A39" s="186"/>
      <c r="B39" s="96"/>
      <c r="C39" s="96"/>
      <c r="D39" s="184"/>
      <c r="E39" s="189"/>
      <c r="F39" s="191"/>
      <c r="G39" s="191"/>
      <c r="H39" s="184"/>
      <c r="I39" s="184"/>
      <c r="J39" s="184"/>
      <c r="K39" s="192"/>
      <c r="L39" s="191"/>
      <c r="M39" s="191"/>
      <c r="N39" s="184"/>
      <c r="O39" s="184"/>
      <c r="P39" s="111"/>
      <c r="Q39" s="111"/>
      <c r="R39" s="111"/>
      <c r="S39" s="111"/>
      <c r="T39" s="191"/>
      <c r="U39" s="191"/>
      <c r="V39" s="191"/>
      <c r="W39" s="191"/>
      <c r="X39" s="191"/>
      <c r="Y39" s="191"/>
      <c r="Z39" s="107"/>
      <c r="AA39" s="191"/>
      <c r="AB39" s="111"/>
      <c r="AC39" s="96"/>
    </row>
    <row r="40" spans="1:29" ht="15.75" thickBot="1">
      <c r="A40" s="196" t="s">
        <v>27</v>
      </c>
      <c r="B40" s="116">
        <f>SUM(B32:B38)</f>
        <v>342893</v>
      </c>
      <c r="C40" s="98">
        <f>SUM(C32:C38)</f>
        <v>121566000</v>
      </c>
      <c r="D40" s="98">
        <f>SUM(D32:D38)</f>
        <v>-40521000</v>
      </c>
      <c r="E40" s="197">
        <f>SUM(E32:E38)</f>
        <v>-1850000</v>
      </c>
      <c r="F40" s="98">
        <f>SUM(F32:F38)</f>
        <v>79195000</v>
      </c>
      <c r="G40" s="115"/>
      <c r="H40" s="116">
        <f>SUM(H32:H38)</f>
        <v>14510.425</v>
      </c>
      <c r="I40" s="98">
        <f>SUM(I32:I38)</f>
        <v>5610000</v>
      </c>
      <c r="J40" s="98">
        <f>SUM(J32:J38)</f>
        <v>-1871000</v>
      </c>
      <c r="K40" s="197">
        <f>SUM(K32:K38)</f>
        <v>5701000</v>
      </c>
      <c r="L40" s="98">
        <f>SUM(L32:L38)</f>
        <v>9440000</v>
      </c>
      <c r="M40" s="115"/>
      <c r="N40" s="116">
        <f>SUM(N32:N38)</f>
        <v>357403.425</v>
      </c>
      <c r="O40" s="98"/>
      <c r="P40" s="98">
        <f>SUM(P32:P38)</f>
        <v>131027000</v>
      </c>
      <c r="Q40" s="116"/>
      <c r="R40" s="98">
        <f>SUM(R32:R38)</f>
        <v>-42392000</v>
      </c>
      <c r="S40" s="116"/>
      <c r="T40" s="98">
        <f>SUM(T32:T38)</f>
        <v>88635000</v>
      </c>
      <c r="U40" s="115"/>
      <c r="V40" s="98">
        <f>SUM(V32:V38)</f>
        <v>235942000</v>
      </c>
      <c r="W40" s="98">
        <f>SUM(W32:W38)</f>
        <v>-78647000</v>
      </c>
      <c r="X40" s="98">
        <f>SUM(X32:X38)</f>
        <v>157295000</v>
      </c>
      <c r="Y40" s="115"/>
      <c r="Z40" s="98">
        <f>SUM(Z32:Z38)</f>
        <v>366969000</v>
      </c>
      <c r="AA40" s="115"/>
      <c r="AB40" s="98">
        <f>SUM(AB32:AB38)</f>
        <v>11483700</v>
      </c>
      <c r="AC40" s="115"/>
    </row>
    <row r="41" spans="1:29" ht="15.75">
      <c r="A41" s="198"/>
      <c r="B41" s="199"/>
      <c r="C41" s="200"/>
      <c r="D41" s="200"/>
      <c r="E41" s="200"/>
      <c r="F41" s="201"/>
      <c r="G41" s="201"/>
      <c r="H41" s="184"/>
      <c r="I41" s="124"/>
      <c r="J41" s="124"/>
      <c r="K41" s="124"/>
      <c r="L41" s="199"/>
      <c r="M41" s="199"/>
      <c r="N41" s="118"/>
      <c r="O41" s="118"/>
      <c r="P41" s="111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268"/>
    </row>
    <row r="42" spans="1:29" ht="18">
      <c r="A42" s="198" t="s">
        <v>68</v>
      </c>
      <c r="B42" s="199"/>
      <c r="C42" s="199"/>
      <c r="D42" s="199"/>
      <c r="E42" s="199"/>
      <c r="F42" s="201"/>
      <c r="G42" s="201"/>
      <c r="H42" s="184"/>
      <c r="I42" s="184"/>
      <c r="J42" s="124"/>
      <c r="K42" s="184"/>
      <c r="L42" s="199"/>
      <c r="M42" s="199"/>
      <c r="N42" s="118"/>
      <c r="O42" s="118"/>
      <c r="P42" s="111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268"/>
    </row>
    <row r="43" spans="1:29" ht="18">
      <c r="A43" s="202" t="s">
        <v>69</v>
      </c>
      <c r="B43" s="199"/>
      <c r="C43" s="199"/>
      <c r="D43" s="199"/>
      <c r="E43" s="199"/>
      <c r="F43" s="201"/>
      <c r="G43" s="201"/>
      <c r="H43" s="184"/>
      <c r="I43" s="184"/>
      <c r="J43" s="184"/>
      <c r="K43" s="184"/>
      <c r="L43" s="199"/>
      <c r="M43" s="199"/>
      <c r="N43" s="118"/>
      <c r="O43" s="118"/>
      <c r="P43" s="111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269"/>
    </row>
    <row r="44" spans="1:29" ht="20.25" customHeight="1">
      <c r="A44" s="202" t="s">
        <v>101</v>
      </c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184"/>
      <c r="P44" s="111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269"/>
    </row>
    <row r="45" spans="1:29" ht="15">
      <c r="A45" s="107"/>
      <c r="B45" s="111"/>
      <c r="C45" s="205"/>
      <c r="D45" s="205"/>
      <c r="E45" s="205"/>
      <c r="F45" s="205"/>
      <c r="G45" s="205"/>
      <c r="H45" s="205"/>
      <c r="I45" s="205"/>
      <c r="J45" s="205"/>
      <c r="K45" s="205"/>
      <c r="L45" s="111"/>
      <c r="M45" s="111"/>
      <c r="N45" s="111"/>
      <c r="O45" s="96"/>
      <c r="P45" s="111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269"/>
    </row>
    <row r="46" spans="1:29" ht="15">
      <c r="A46" s="107"/>
      <c r="B46" s="111"/>
      <c r="C46" s="205"/>
      <c r="D46" s="205"/>
      <c r="E46" s="205"/>
      <c r="F46" s="205"/>
      <c r="G46" s="205"/>
      <c r="H46" s="205"/>
      <c r="I46" s="205"/>
      <c r="J46" s="205"/>
      <c r="K46" s="205"/>
      <c r="L46" s="111"/>
      <c r="M46" s="111"/>
      <c r="N46" s="111"/>
      <c r="O46" s="96"/>
      <c r="P46" s="111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269"/>
    </row>
    <row r="47" spans="1:29" ht="15">
      <c r="A47" s="107"/>
      <c r="B47" s="111"/>
      <c r="C47" s="205"/>
      <c r="D47" s="205"/>
      <c r="E47" s="205"/>
      <c r="F47" s="205"/>
      <c r="G47" s="205"/>
      <c r="H47" s="205"/>
      <c r="I47" s="205"/>
      <c r="J47" s="205"/>
      <c r="K47" s="205"/>
      <c r="L47" s="111"/>
      <c r="M47" s="111"/>
      <c r="N47" s="111"/>
      <c r="O47" s="96"/>
      <c r="P47" s="111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269"/>
    </row>
    <row r="48" spans="1:29" ht="15">
      <c r="A48" s="107"/>
      <c r="B48" s="111"/>
      <c r="C48" s="205"/>
      <c r="D48" s="205"/>
      <c r="E48" s="205"/>
      <c r="F48" s="205"/>
      <c r="G48" s="205"/>
      <c r="H48" s="205"/>
      <c r="I48" s="205"/>
      <c r="J48" s="205"/>
      <c r="K48" s="205"/>
      <c r="L48" s="111"/>
      <c r="M48" s="111"/>
      <c r="N48" s="111"/>
      <c r="O48" s="96"/>
      <c r="P48" s="111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269"/>
    </row>
    <row r="49" spans="1:29" ht="15">
      <c r="A49" s="107"/>
      <c r="B49" s="111"/>
      <c r="C49" s="205"/>
      <c r="D49" s="205"/>
      <c r="E49" s="205"/>
      <c r="F49" s="205"/>
      <c r="G49" s="205"/>
      <c r="H49" s="205"/>
      <c r="I49" s="205"/>
      <c r="J49" s="205"/>
      <c r="K49" s="205"/>
      <c r="L49" s="111"/>
      <c r="M49" s="111"/>
      <c r="N49" s="111"/>
      <c r="O49" s="96"/>
      <c r="P49" s="111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269"/>
    </row>
    <row r="50" spans="1:29" ht="15">
      <c r="A50" s="107"/>
      <c r="B50" s="111"/>
      <c r="C50" s="205"/>
      <c r="D50" s="205"/>
      <c r="E50" s="205"/>
      <c r="F50" s="205"/>
      <c r="G50" s="205"/>
      <c r="H50" s="205"/>
      <c r="I50" s="205"/>
      <c r="J50" s="205"/>
      <c r="K50" s="205"/>
      <c r="L50" s="111"/>
      <c r="M50" s="111"/>
      <c r="N50" s="111"/>
      <c r="O50" s="96"/>
      <c r="P50" s="111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269"/>
    </row>
    <row r="51" spans="1:29" ht="15">
      <c r="A51" s="107"/>
      <c r="B51" s="111"/>
      <c r="C51" s="205"/>
      <c r="D51" s="205"/>
      <c r="E51" s="205"/>
      <c r="F51" s="205"/>
      <c r="G51" s="205"/>
      <c r="H51" s="205"/>
      <c r="I51" s="205"/>
      <c r="J51" s="205"/>
      <c r="K51" s="205"/>
      <c r="L51" s="111"/>
      <c r="M51" s="111"/>
      <c r="N51" s="111"/>
      <c r="O51" s="96"/>
      <c r="P51" s="111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269"/>
    </row>
    <row r="52" spans="1:29" ht="15">
      <c r="A52" s="107"/>
      <c r="B52" s="111"/>
      <c r="C52" s="205"/>
      <c r="D52" s="205"/>
      <c r="E52" s="205"/>
      <c r="F52" s="205"/>
      <c r="G52" s="205"/>
      <c r="H52" s="205"/>
      <c r="I52" s="205"/>
      <c r="J52" s="205"/>
      <c r="K52" s="205"/>
      <c r="L52" s="111"/>
      <c r="M52" s="111"/>
      <c r="N52" s="111"/>
      <c r="O52" s="96"/>
      <c r="P52" s="111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269"/>
    </row>
    <row r="53" spans="1:29" ht="15">
      <c r="A53" s="107"/>
      <c r="B53" s="111"/>
      <c r="C53" s="205"/>
      <c r="D53" s="205"/>
      <c r="E53" s="205"/>
      <c r="F53" s="205"/>
      <c r="G53" s="205"/>
      <c r="H53" s="205"/>
      <c r="I53" s="205"/>
      <c r="J53" s="205"/>
      <c r="K53" s="205"/>
      <c r="L53" s="111"/>
      <c r="M53" s="111"/>
      <c r="N53" s="111"/>
      <c r="O53" s="96"/>
      <c r="P53" s="111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269"/>
    </row>
    <row r="54" spans="1:16" ht="15">
      <c r="A54" s="107"/>
      <c r="B54" s="107"/>
      <c r="D54" s="158"/>
      <c r="E54" s="158"/>
      <c r="F54" s="158"/>
      <c r="G54" s="158"/>
      <c r="H54" s="158"/>
      <c r="I54" s="158"/>
      <c r="J54" s="158"/>
      <c r="K54" s="158"/>
      <c r="L54" s="107"/>
      <c r="M54" s="107"/>
      <c r="N54" s="107"/>
      <c r="O54" s="186"/>
      <c r="P54" s="107"/>
    </row>
    <row r="55" spans="1:16" ht="15">
      <c r="A55" s="107"/>
      <c r="B55" s="107"/>
      <c r="D55" s="158"/>
      <c r="E55" s="158"/>
      <c r="F55" s="158"/>
      <c r="G55" s="158"/>
      <c r="H55" s="158"/>
      <c r="I55" s="158"/>
      <c r="J55" s="158"/>
      <c r="K55" s="158"/>
      <c r="L55" s="107"/>
      <c r="M55" s="107"/>
      <c r="N55" s="107"/>
      <c r="O55" s="186"/>
      <c r="P55" s="107"/>
    </row>
  </sheetData>
  <sheetProtection/>
  <mergeCells count="7">
    <mergeCell ref="Z1:Z3"/>
    <mergeCell ref="AB1:AB3"/>
    <mergeCell ref="B5:F5"/>
    <mergeCell ref="H5:L5"/>
    <mergeCell ref="V2:X3"/>
    <mergeCell ref="B3:T3"/>
    <mergeCell ref="N5:T5"/>
  </mergeCells>
  <printOptions/>
  <pageMargins left="0.5" right="0.25" top="0.5" bottom="0.25" header="0.5" footer="0.5"/>
  <pageSetup fitToHeight="1" fitToWidth="1" horizontalDpi="600" verticalDpi="600" orientation="landscape" paperSize="5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5" sqref="V5"/>
    </sheetView>
  </sheetViews>
  <sheetFormatPr defaultColWidth="9.33203125" defaultRowHeight="12.75"/>
  <cols>
    <col min="1" max="1" width="1.83203125" style="207" customWidth="1"/>
    <col min="2" max="2" width="23.83203125" style="208" customWidth="1"/>
    <col min="3" max="3" width="15.66015625" style="208" customWidth="1"/>
    <col min="4" max="4" width="9.83203125" style="208" bestFit="1" customWidth="1"/>
    <col min="5" max="5" width="16" style="208" customWidth="1"/>
    <col min="6" max="6" width="9.83203125" style="207" bestFit="1" customWidth="1"/>
    <col min="7" max="7" width="14.5" style="208" customWidth="1"/>
    <col min="8" max="8" width="11" style="208" bestFit="1" customWidth="1"/>
    <col min="9" max="9" width="15.33203125" style="208" customWidth="1"/>
    <col min="10" max="10" width="11" style="208" bestFit="1" customWidth="1"/>
    <col min="11" max="11" width="3.33203125" style="208" customWidth="1"/>
    <col min="12" max="12" width="16.83203125" style="208" customWidth="1"/>
    <col min="13" max="13" width="3.33203125" style="208" customWidth="1"/>
    <col min="14" max="14" width="6.66015625" style="208" customWidth="1"/>
    <col min="15" max="16384" width="9.33203125" style="208" customWidth="1"/>
  </cols>
  <sheetData>
    <row r="1" ht="19.5">
      <c r="A1" s="206" t="s">
        <v>153</v>
      </c>
    </row>
    <row r="2" ht="15.75" customHeight="1"/>
    <row r="3" spans="3:9" ht="14.25" customHeight="1">
      <c r="C3" s="209">
        <v>-1</v>
      </c>
      <c r="D3" s="209"/>
      <c r="E3" s="209"/>
      <c r="F3" s="209"/>
      <c r="G3" s="209"/>
      <c r="H3" s="209"/>
      <c r="I3" s="209">
        <v>-2</v>
      </c>
    </row>
    <row r="4" spans="1:13" ht="14.25" customHeight="1">
      <c r="A4" s="210"/>
      <c r="B4" s="211"/>
      <c r="C4" s="212"/>
      <c r="D4" s="212"/>
      <c r="E4" s="336" t="s">
        <v>154</v>
      </c>
      <c r="F4" s="337"/>
      <c r="G4" s="337"/>
      <c r="H4" s="337"/>
      <c r="I4" s="337"/>
      <c r="J4" s="337"/>
      <c r="K4" s="337"/>
      <c r="L4" s="337"/>
      <c r="M4" s="338"/>
    </row>
    <row r="5" spans="1:13" s="213" customFormat="1" ht="75.75" customHeight="1" thickBot="1">
      <c r="A5" s="214"/>
      <c r="B5" s="298" t="s">
        <v>95</v>
      </c>
      <c r="C5" s="299" t="s">
        <v>70</v>
      </c>
      <c r="D5" s="314"/>
      <c r="E5" s="339" t="s">
        <v>159</v>
      </c>
      <c r="F5" s="340"/>
      <c r="G5" s="300" t="s">
        <v>160</v>
      </c>
      <c r="H5" s="301"/>
      <c r="I5" s="341" t="s">
        <v>71</v>
      </c>
      <c r="J5" s="341"/>
      <c r="K5" s="342" t="s">
        <v>158</v>
      </c>
      <c r="L5" s="343"/>
      <c r="M5" s="344"/>
    </row>
    <row r="6" spans="1:13" ht="15">
      <c r="A6" s="215"/>
      <c r="B6" s="216"/>
      <c r="C6" s="220" t="s">
        <v>157</v>
      </c>
      <c r="D6" s="220" t="s">
        <v>72</v>
      </c>
      <c r="E6" s="217" t="s">
        <v>157</v>
      </c>
      <c r="F6" s="219" t="s">
        <v>72</v>
      </c>
      <c r="G6" s="217" t="s">
        <v>157</v>
      </c>
      <c r="H6" s="220" t="s">
        <v>72</v>
      </c>
      <c r="I6" s="217" t="s">
        <v>157</v>
      </c>
      <c r="J6" s="220" t="s">
        <v>72</v>
      </c>
      <c r="K6" s="217"/>
      <c r="L6" s="304" t="s">
        <v>73</v>
      </c>
      <c r="M6" s="308"/>
    </row>
    <row r="7" spans="1:13" ht="6" customHeight="1">
      <c r="A7" s="217"/>
      <c r="B7" s="216"/>
      <c r="C7" s="216"/>
      <c r="D7" s="216"/>
      <c r="E7" s="218"/>
      <c r="F7" s="219"/>
      <c r="G7" s="218"/>
      <c r="H7" s="220"/>
      <c r="I7" s="218"/>
      <c r="J7" s="220"/>
      <c r="K7" s="217"/>
      <c r="M7" s="308"/>
    </row>
    <row r="8" spans="1:14" ht="15">
      <c r="A8" s="221"/>
      <c r="B8" s="216" t="s">
        <v>74</v>
      </c>
      <c r="C8" s="181">
        <v>7183400</v>
      </c>
      <c r="D8" s="223">
        <f aca="true" t="shared" si="0" ref="D8:D30">C8/$C$32</f>
        <v>0.022900349654808326</v>
      </c>
      <c r="E8" s="224">
        <f>ROUND(11358960/100,0)*100</f>
        <v>11359000</v>
      </c>
      <c r="F8" s="225">
        <f aca="true" t="shared" si="1" ref="F8:F30">E8/$E$32</f>
        <v>0.023347955866834226</v>
      </c>
      <c r="G8" s="226">
        <f>ROUND(11475120/100,0)*100+100</f>
        <v>11475200</v>
      </c>
      <c r="H8" s="227">
        <f aca="true" t="shared" si="2" ref="H8:H30">G8/$G$32</f>
        <v>0.024243054195538637</v>
      </c>
      <c r="I8" s="222">
        <f aca="true" t="shared" si="3" ref="I8:I30">ROUND((434719800)*J8/100,0)*100</f>
        <v>10538900</v>
      </c>
      <c r="J8" s="302">
        <f>H8</f>
        <v>0.024243054195538637</v>
      </c>
      <c r="K8" s="309"/>
      <c r="L8" s="305">
        <f aca="true" t="shared" si="4" ref="L8:L30">I8-C8</f>
        <v>3355500</v>
      </c>
      <c r="M8" s="308"/>
      <c r="N8" s="186"/>
    </row>
    <row r="9" spans="1:14" ht="15">
      <c r="A9" s="221"/>
      <c r="B9" s="216" t="s">
        <v>1</v>
      </c>
      <c r="C9" s="186">
        <v>1985200</v>
      </c>
      <c r="D9" s="223">
        <f t="shared" si="0"/>
        <v>0.006328726527093784</v>
      </c>
      <c r="E9" s="229">
        <f>ROUND(3639120/100,0)*100</f>
        <v>3639100</v>
      </c>
      <c r="F9" s="225">
        <f t="shared" si="1"/>
        <v>0.007480019913284307</v>
      </c>
      <c r="G9" s="230">
        <f>ROUND(3072240/100,0)*100</f>
        <v>3072200</v>
      </c>
      <c r="H9" s="227">
        <f t="shared" si="2"/>
        <v>0.006490476078807672</v>
      </c>
      <c r="I9" s="228">
        <f t="shared" si="3"/>
        <v>2821500</v>
      </c>
      <c r="J9" s="302">
        <f aca="true" t="shared" si="5" ref="J9:J30">H9</f>
        <v>0.006490476078807672</v>
      </c>
      <c r="K9" s="309"/>
      <c r="L9" s="306">
        <f t="shared" si="4"/>
        <v>836300</v>
      </c>
      <c r="M9" s="308"/>
      <c r="N9" s="186"/>
    </row>
    <row r="10" spans="1:14" ht="15">
      <c r="A10" s="221"/>
      <c r="B10" s="216" t="s">
        <v>75</v>
      </c>
      <c r="C10" s="186">
        <v>11394800</v>
      </c>
      <c r="D10" s="223">
        <f t="shared" si="0"/>
        <v>0.03632609965289556</v>
      </c>
      <c r="E10" s="229">
        <f>ROUND(17243400/100,0)*100</f>
        <v>17243400</v>
      </c>
      <c r="F10" s="225">
        <f t="shared" si="1"/>
        <v>0.035443097296783986</v>
      </c>
      <c r="G10" s="230">
        <f>ROUND(16410600/100,0)*100</f>
        <v>16410600</v>
      </c>
      <c r="H10" s="227">
        <f t="shared" si="2"/>
        <v>0.03466981535670893</v>
      </c>
      <c r="I10" s="228">
        <f t="shared" si="3"/>
        <v>15071700</v>
      </c>
      <c r="J10" s="302">
        <f t="shared" si="5"/>
        <v>0.03466981535670893</v>
      </c>
      <c r="K10" s="309"/>
      <c r="L10" s="306">
        <f t="shared" si="4"/>
        <v>3676900</v>
      </c>
      <c r="M10" s="308"/>
      <c r="N10" s="186"/>
    </row>
    <row r="11" spans="1:14" ht="15">
      <c r="A11" s="221"/>
      <c r="B11" s="216" t="s">
        <v>76</v>
      </c>
      <c r="C11" s="186">
        <v>13049200</v>
      </c>
      <c r="D11" s="223">
        <f t="shared" si="0"/>
        <v>0.041600250955748645</v>
      </c>
      <c r="E11" s="231">
        <f>ROUND(20897040/100,0)*100</f>
        <v>20897000</v>
      </c>
      <c r="F11" s="225">
        <f t="shared" si="1"/>
        <v>0.0429529213618483</v>
      </c>
      <c r="G11" s="230">
        <f>ROUND(21385080/100,0)*100</f>
        <v>21385100</v>
      </c>
      <c r="H11" s="227">
        <f t="shared" si="2"/>
        <v>0.04517918104059305</v>
      </c>
      <c r="I11" s="228">
        <f t="shared" si="3"/>
        <v>19640300</v>
      </c>
      <c r="J11" s="302">
        <f t="shared" si="5"/>
        <v>0.04517918104059305</v>
      </c>
      <c r="K11" s="309"/>
      <c r="L11" s="306">
        <f t="shared" si="4"/>
        <v>6591100</v>
      </c>
      <c r="M11" s="308"/>
      <c r="N11" s="186"/>
    </row>
    <row r="12" spans="1:14" ht="15">
      <c r="A12" s="221"/>
      <c r="B12" s="216" t="s">
        <v>29</v>
      </c>
      <c r="C12" s="186">
        <v>9639100</v>
      </c>
      <c r="D12" s="223">
        <f t="shared" si="0"/>
        <v>0.030729008597274683</v>
      </c>
      <c r="E12" s="231">
        <f>ROUND(14569320/100,0)*100</f>
        <v>14569300</v>
      </c>
      <c r="F12" s="225">
        <f t="shared" si="1"/>
        <v>0.029946595070927715</v>
      </c>
      <c r="G12" s="230">
        <f>ROUND(14913120/100,0)*100</f>
        <v>14913100</v>
      </c>
      <c r="H12" s="227">
        <f t="shared" si="2"/>
        <v>0.031506125516199045</v>
      </c>
      <c r="I12" s="228">
        <f t="shared" si="3"/>
        <v>13696300</v>
      </c>
      <c r="J12" s="302">
        <f t="shared" si="5"/>
        <v>0.031506125516199045</v>
      </c>
      <c r="K12" s="309"/>
      <c r="L12" s="306">
        <f t="shared" si="4"/>
        <v>4057200</v>
      </c>
      <c r="M12" s="308"/>
      <c r="N12" s="186"/>
    </row>
    <row r="13" spans="1:14" ht="15">
      <c r="A13" s="221"/>
      <c r="B13" s="216" t="s">
        <v>77</v>
      </c>
      <c r="C13" s="186">
        <v>18610700</v>
      </c>
      <c r="D13" s="223">
        <f t="shared" si="0"/>
        <v>0.059330057816736</v>
      </c>
      <c r="E13" s="231">
        <f>ROUND(27863640/100,0)*100</f>
        <v>27863600</v>
      </c>
      <c r="F13" s="225">
        <f t="shared" si="1"/>
        <v>0.057272480243958285</v>
      </c>
      <c r="G13" s="230">
        <f>ROUND(27553320/100,0)*100</f>
        <v>27553300</v>
      </c>
      <c r="H13" s="227">
        <f t="shared" si="2"/>
        <v>0.05821041421203419</v>
      </c>
      <c r="I13" s="228">
        <f t="shared" si="3"/>
        <v>25305200</v>
      </c>
      <c r="J13" s="302">
        <f t="shared" si="5"/>
        <v>0.05821041421203419</v>
      </c>
      <c r="K13" s="309"/>
      <c r="L13" s="306">
        <f t="shared" si="4"/>
        <v>6694500</v>
      </c>
      <c r="M13" s="308"/>
      <c r="N13" s="186"/>
    </row>
    <row r="14" spans="1:14" ht="15">
      <c r="A14" s="221"/>
      <c r="B14" s="216" t="s">
        <v>78</v>
      </c>
      <c r="C14" s="186">
        <v>23306600</v>
      </c>
      <c r="D14" s="223">
        <f t="shared" si="0"/>
        <v>0.0743003715879327</v>
      </c>
      <c r="E14" s="231">
        <f>ROUND(35994480/100,0)*100</f>
        <v>35994500</v>
      </c>
      <c r="F14" s="225">
        <f t="shared" si="1"/>
        <v>0.07398520974106564</v>
      </c>
      <c r="G14" s="230">
        <f>ROUND(34157760/100,0)*100</f>
        <v>34157800</v>
      </c>
      <c r="H14" s="227">
        <f t="shared" si="2"/>
        <v>0.07216339554869368</v>
      </c>
      <c r="I14" s="228">
        <f t="shared" si="3"/>
        <v>31370900</v>
      </c>
      <c r="J14" s="302">
        <f t="shared" si="5"/>
        <v>0.07216339554869368</v>
      </c>
      <c r="K14" s="309"/>
      <c r="L14" s="306">
        <f t="shared" si="4"/>
        <v>8064300</v>
      </c>
      <c r="M14" s="308"/>
      <c r="N14" s="186"/>
    </row>
    <row r="15" spans="1:14" ht="15">
      <c r="A15" s="221"/>
      <c r="B15" s="216" t="s">
        <v>79</v>
      </c>
      <c r="C15" s="186">
        <v>8312500</v>
      </c>
      <c r="D15" s="223">
        <f t="shared" si="0"/>
        <v>0.026499868656290088</v>
      </c>
      <c r="E15" s="231">
        <f>ROUND(11945160/100,0)*100</f>
        <v>11945200</v>
      </c>
      <c r="F15" s="225">
        <f t="shared" si="1"/>
        <v>0.024552865782243877</v>
      </c>
      <c r="G15" s="230">
        <f>ROUND(11921040/100,0)*100</f>
        <v>11921000</v>
      </c>
      <c r="H15" s="227">
        <f t="shared" si="2"/>
        <v>0.025184872513334504</v>
      </c>
      <c r="I15" s="228">
        <f t="shared" si="3"/>
        <v>10948400</v>
      </c>
      <c r="J15" s="302">
        <f t="shared" si="5"/>
        <v>0.025184872513334504</v>
      </c>
      <c r="K15" s="309"/>
      <c r="L15" s="306">
        <f t="shared" si="4"/>
        <v>2635900</v>
      </c>
      <c r="M15" s="308"/>
      <c r="N15" s="186"/>
    </row>
    <row r="16" spans="1:14" ht="15">
      <c r="A16" s="221"/>
      <c r="B16" s="216" t="s">
        <v>80</v>
      </c>
      <c r="C16" s="186">
        <v>27353000</v>
      </c>
      <c r="D16" s="223">
        <f t="shared" si="0"/>
        <v>0.08720010915554921</v>
      </c>
      <c r="E16" s="231">
        <f>ROUND(41806680/100,0)*100</f>
        <v>41806700</v>
      </c>
      <c r="F16" s="225">
        <f t="shared" si="1"/>
        <v>0.0859319470497384</v>
      </c>
      <c r="G16" s="230">
        <f>ROUND(39925320/100,0)*100</f>
        <v>39925300</v>
      </c>
      <c r="H16" s="227">
        <f t="shared" si="2"/>
        <v>0.0843480908108912</v>
      </c>
      <c r="I16" s="228">
        <f t="shared" si="3"/>
        <v>36667800</v>
      </c>
      <c r="J16" s="302">
        <f t="shared" si="5"/>
        <v>0.0843480908108912</v>
      </c>
      <c r="K16" s="309"/>
      <c r="L16" s="306">
        <f t="shared" si="4"/>
        <v>9314800</v>
      </c>
      <c r="M16" s="308"/>
      <c r="N16" s="186"/>
    </row>
    <row r="17" spans="1:14" ht="15">
      <c r="A17" s="221"/>
      <c r="B17" s="216" t="s">
        <v>81</v>
      </c>
      <c r="C17" s="186">
        <v>21153900</v>
      </c>
      <c r="D17" s="223">
        <f t="shared" si="0"/>
        <v>0.06743766274505804</v>
      </c>
      <c r="E17" s="231">
        <f>ROUND(33409920/100,0)*100</f>
        <v>33409900</v>
      </c>
      <c r="F17" s="225">
        <f t="shared" si="1"/>
        <v>0.06867267107274803</v>
      </c>
      <c r="G17" s="230">
        <f>ROUND(32971320/100,0)*100</f>
        <v>32971300</v>
      </c>
      <c r="H17" s="227">
        <f t="shared" si="2"/>
        <v>0.06965673912414276</v>
      </c>
      <c r="I17" s="228">
        <f t="shared" si="3"/>
        <v>30281200</v>
      </c>
      <c r="J17" s="302">
        <f t="shared" si="5"/>
        <v>0.06965673912414276</v>
      </c>
      <c r="K17" s="309"/>
      <c r="L17" s="306">
        <f t="shared" si="4"/>
        <v>9127300</v>
      </c>
      <c r="M17" s="308"/>
      <c r="N17" s="186"/>
    </row>
    <row r="18" spans="1:14" ht="15">
      <c r="A18" s="221"/>
      <c r="B18" s="216" t="s">
        <v>9</v>
      </c>
      <c r="C18" s="186">
        <v>429300</v>
      </c>
      <c r="D18" s="223">
        <f t="shared" si="0"/>
        <v>0.001368588705461093</v>
      </c>
      <c r="E18" s="231">
        <f>ROUND(682200/100,0)*100</f>
        <v>682200</v>
      </c>
      <c r="F18" s="225">
        <f t="shared" si="1"/>
        <v>0.0014022339547807299</v>
      </c>
      <c r="G18" s="230">
        <f>ROUND(639960/100,0)*100</f>
        <v>640000</v>
      </c>
      <c r="H18" s="227">
        <f t="shared" si="2"/>
        <v>0.0013520944894332759</v>
      </c>
      <c r="I18" s="228">
        <f t="shared" si="3"/>
        <v>587800</v>
      </c>
      <c r="J18" s="302">
        <f t="shared" si="5"/>
        <v>0.0013520944894332759</v>
      </c>
      <c r="K18" s="309"/>
      <c r="L18" s="306">
        <f t="shared" si="4"/>
        <v>158500</v>
      </c>
      <c r="M18" s="308"/>
      <c r="N18" s="186"/>
    </row>
    <row r="19" spans="1:14" ht="15">
      <c r="A19" s="221"/>
      <c r="B19" s="216" t="s">
        <v>10</v>
      </c>
      <c r="C19" s="186">
        <v>3031400</v>
      </c>
      <c r="D19" s="223">
        <f t="shared" si="0"/>
        <v>0.00966396413169056</v>
      </c>
      <c r="E19" s="231">
        <f>ROUND(5193720/100,0)*100</f>
        <v>5193700</v>
      </c>
      <c r="F19" s="225">
        <f t="shared" si="1"/>
        <v>0.010675436075849717</v>
      </c>
      <c r="G19" s="230">
        <f>ROUND(5061840/100,0)*100</f>
        <v>5061800</v>
      </c>
      <c r="H19" s="227">
        <f t="shared" si="2"/>
        <v>0.01069379982283337</v>
      </c>
      <c r="I19" s="228">
        <f t="shared" si="3"/>
        <v>4648800</v>
      </c>
      <c r="J19" s="302">
        <f t="shared" si="5"/>
        <v>0.01069379982283337</v>
      </c>
      <c r="K19" s="309"/>
      <c r="L19" s="306">
        <f t="shared" si="4"/>
        <v>1617400</v>
      </c>
      <c r="M19" s="308"/>
      <c r="N19" s="186"/>
    </row>
    <row r="20" spans="1:14" ht="15">
      <c r="A20" s="221"/>
      <c r="B20" s="216" t="s">
        <v>82</v>
      </c>
      <c r="C20" s="186">
        <v>27412500</v>
      </c>
      <c r="D20" s="223">
        <f t="shared" si="0"/>
        <v>0.08738979242593108</v>
      </c>
      <c r="E20" s="231">
        <f>ROUND(42054360/100,0)*100</f>
        <v>42054400</v>
      </c>
      <c r="F20" s="225">
        <f t="shared" si="1"/>
        <v>0.08644108418049065</v>
      </c>
      <c r="G20" s="230">
        <f>ROUND(40507800/100,0)*100</f>
        <v>40507800</v>
      </c>
      <c r="H20" s="227">
        <f t="shared" si="2"/>
        <v>0.08557870806103945</v>
      </c>
      <c r="I20" s="228">
        <f t="shared" si="3"/>
        <v>37202800</v>
      </c>
      <c r="J20" s="302">
        <f t="shared" si="5"/>
        <v>0.08557870806103945</v>
      </c>
      <c r="K20" s="309"/>
      <c r="L20" s="306">
        <f t="shared" si="4"/>
        <v>9790300</v>
      </c>
      <c r="M20" s="308"/>
      <c r="N20" s="186"/>
    </row>
    <row r="21" spans="1:14" ht="15">
      <c r="A21" s="221"/>
      <c r="B21" s="216" t="s">
        <v>83</v>
      </c>
      <c r="C21" s="186">
        <v>15930700</v>
      </c>
      <c r="D21" s="223">
        <f t="shared" si="0"/>
        <v>0.050786340764241863</v>
      </c>
      <c r="E21" s="231">
        <f>ROUND(24232920/100,0)*100</f>
        <v>24232900</v>
      </c>
      <c r="F21" s="225">
        <f t="shared" si="1"/>
        <v>0.04980972618411895</v>
      </c>
      <c r="G21" s="230">
        <f>ROUND(23325240/100,0)*100</f>
        <v>23325200</v>
      </c>
      <c r="H21" s="227">
        <f t="shared" si="2"/>
        <v>0.04927792872645164</v>
      </c>
      <c r="I21" s="228">
        <f t="shared" si="3"/>
        <v>21422100</v>
      </c>
      <c r="J21" s="302">
        <f t="shared" si="5"/>
        <v>0.04927792872645164</v>
      </c>
      <c r="K21" s="309"/>
      <c r="L21" s="306">
        <f t="shared" si="4"/>
        <v>5491400</v>
      </c>
      <c r="M21" s="308"/>
      <c r="N21" s="186"/>
    </row>
    <row r="22" spans="1:14" ht="15">
      <c r="A22" s="221"/>
      <c r="B22" s="216" t="s">
        <v>84</v>
      </c>
      <c r="C22" s="186">
        <v>20574600</v>
      </c>
      <c r="D22" s="223">
        <f t="shared" si="0"/>
        <v>0.0655908809209872</v>
      </c>
      <c r="E22" s="231">
        <f>ROUND(31071840/100,0)*100</f>
        <v>31071800</v>
      </c>
      <c r="F22" s="225">
        <f t="shared" si="1"/>
        <v>0.06386680298469054</v>
      </c>
      <c r="G22" s="230">
        <f>ROUND(31348800/100,0)*100</f>
        <v>31348800</v>
      </c>
      <c r="H22" s="227">
        <f t="shared" si="2"/>
        <v>0.06622896832866544</v>
      </c>
      <c r="I22" s="228">
        <f t="shared" si="3"/>
        <v>28791000</v>
      </c>
      <c r="J22" s="302">
        <f t="shared" si="5"/>
        <v>0.06622896832866544</v>
      </c>
      <c r="K22" s="309"/>
      <c r="L22" s="306">
        <f t="shared" si="4"/>
        <v>8216400</v>
      </c>
      <c r="M22" s="308"/>
      <c r="N22" s="186"/>
    </row>
    <row r="23" spans="1:14" ht="15">
      <c r="A23" s="221"/>
      <c r="B23" s="216" t="s">
        <v>85</v>
      </c>
      <c r="C23" s="186">
        <v>17212400</v>
      </c>
      <c r="D23" s="223">
        <f t="shared" si="0"/>
        <v>0.054872341565055945</v>
      </c>
      <c r="E23" s="231">
        <f>ROUND(26560920/100,0)*100-100</f>
        <v>26560800</v>
      </c>
      <c r="F23" s="225">
        <f t="shared" si="1"/>
        <v>0.05459462859299327</v>
      </c>
      <c r="G23" s="230">
        <f>ROUND(26954640/100,0)*100</f>
        <v>26954600</v>
      </c>
      <c r="H23" s="227">
        <f t="shared" si="2"/>
        <v>0.05694557207012216</v>
      </c>
      <c r="I23" s="228">
        <f t="shared" si="3"/>
        <v>24755400</v>
      </c>
      <c r="J23" s="302">
        <f t="shared" si="5"/>
        <v>0.05694557207012216</v>
      </c>
      <c r="K23" s="309"/>
      <c r="L23" s="306">
        <f t="shared" si="4"/>
        <v>7543000</v>
      </c>
      <c r="M23" s="308"/>
      <c r="N23" s="186"/>
    </row>
    <row r="24" spans="1:14" ht="15">
      <c r="A24" s="221"/>
      <c r="B24" s="216" t="s">
        <v>86</v>
      </c>
      <c r="C24" s="186">
        <v>21212100</v>
      </c>
      <c r="D24" s="223">
        <f t="shared" si="0"/>
        <v>0.06762320167507861</v>
      </c>
      <c r="E24" s="231">
        <f>ROUND(34111560/100,0)*100</f>
        <v>34111600</v>
      </c>
      <c r="F24" s="225">
        <f>E24/$E$32</f>
        <v>0.07011498647302601</v>
      </c>
      <c r="G24" s="230">
        <f>ROUND(32020440/100,0)*100</f>
        <v>32020400</v>
      </c>
      <c r="H24" s="227">
        <f t="shared" si="2"/>
        <v>0.06764782248351449</v>
      </c>
      <c r="I24" s="228">
        <f t="shared" si="3"/>
        <v>29407800</v>
      </c>
      <c r="J24" s="302">
        <f t="shared" si="5"/>
        <v>0.06764782248351449</v>
      </c>
      <c r="K24" s="309"/>
      <c r="L24" s="306">
        <f t="shared" si="4"/>
        <v>8195700</v>
      </c>
      <c r="M24" s="308"/>
      <c r="N24" s="186"/>
    </row>
    <row r="25" spans="1:14" ht="15">
      <c r="A25" s="221"/>
      <c r="B25" s="216" t="s">
        <v>87</v>
      </c>
      <c r="C25" s="186">
        <v>23622500</v>
      </c>
      <c r="D25" s="223">
        <f t="shared" si="0"/>
        <v>0.07530744629572482</v>
      </c>
      <c r="E25" s="231">
        <f>ROUND(35059320/100,0)*100</f>
        <v>35059300</v>
      </c>
      <c r="F25" s="225">
        <f>E25/$E$32</f>
        <v>0.07206294472419238</v>
      </c>
      <c r="G25" s="230">
        <f>ROUND(34340400/100,0)*100</f>
        <v>34340400</v>
      </c>
      <c r="H25" s="227">
        <f>G25/$G$32</f>
        <v>0.07254916500771011</v>
      </c>
      <c r="I25" s="228">
        <f t="shared" si="3"/>
        <v>31538600</v>
      </c>
      <c r="J25" s="302">
        <f t="shared" si="5"/>
        <v>0.07254916500771011</v>
      </c>
      <c r="K25" s="309"/>
      <c r="L25" s="306">
        <f t="shared" si="4"/>
        <v>7916100</v>
      </c>
      <c r="M25" s="308"/>
      <c r="N25" s="186"/>
    </row>
    <row r="26" spans="1:14" ht="15">
      <c r="A26" s="221"/>
      <c r="B26" s="216" t="s">
        <v>88</v>
      </c>
      <c r="C26" s="186">
        <v>16436900</v>
      </c>
      <c r="D26" s="223">
        <f t="shared" si="0"/>
        <v>0.05240008314184356</v>
      </c>
      <c r="E26" s="231">
        <f>ROUND(28186080/100,0)*100</f>
        <v>28186100</v>
      </c>
      <c r="F26" s="225">
        <f t="shared" si="1"/>
        <v>0.05793536568872051</v>
      </c>
      <c r="G26" s="230">
        <f>ROUND(26320320/100,0)*100</f>
        <v>26320300</v>
      </c>
      <c r="H26" s="227">
        <f t="shared" si="2"/>
        <v>0.05560551967223539</v>
      </c>
      <c r="I26" s="228">
        <f t="shared" si="3"/>
        <v>24172800</v>
      </c>
      <c r="J26" s="302">
        <f t="shared" si="5"/>
        <v>0.05560551967223539</v>
      </c>
      <c r="K26" s="309"/>
      <c r="L26" s="306">
        <f t="shared" si="4"/>
        <v>7735900</v>
      </c>
      <c r="M26" s="308"/>
      <c r="N26" s="186"/>
    </row>
    <row r="27" spans="1:14" ht="15">
      <c r="A27" s="221"/>
      <c r="B27" s="216" t="s">
        <v>89</v>
      </c>
      <c r="C27" s="186">
        <v>7599400</v>
      </c>
      <c r="D27" s="223">
        <f t="shared" si="0"/>
        <v>0.024226538570419356</v>
      </c>
      <c r="E27" s="231">
        <f>ROUND(11783160/100,0)*100</f>
        <v>11783200</v>
      </c>
      <c r="F27" s="225">
        <f t="shared" si="1"/>
        <v>0.02421988146580518</v>
      </c>
      <c r="G27" s="230">
        <f>ROUND(11287800/100,0)*100</f>
        <v>11287800</v>
      </c>
      <c r="H27" s="227">
        <f t="shared" si="2"/>
        <v>0.023847144027851458</v>
      </c>
      <c r="I27" s="228">
        <f t="shared" si="3"/>
        <v>10366800</v>
      </c>
      <c r="J27" s="302">
        <f t="shared" si="5"/>
        <v>0.023847144027851458</v>
      </c>
      <c r="K27" s="309"/>
      <c r="L27" s="306">
        <f t="shared" si="4"/>
        <v>2767400</v>
      </c>
      <c r="M27" s="308"/>
      <c r="N27" s="186"/>
    </row>
    <row r="28" spans="1:14" ht="15">
      <c r="A28" s="221"/>
      <c r="B28" s="216" t="s">
        <v>90</v>
      </c>
      <c r="C28" s="186">
        <v>6242300</v>
      </c>
      <c r="D28" s="223">
        <f t="shared" si="0"/>
        <v>0.01990016602865078</v>
      </c>
      <c r="E28" s="231">
        <f>ROUND(9744720/100,0)*100</f>
        <v>9744700</v>
      </c>
      <c r="F28" s="225">
        <f t="shared" si="1"/>
        <v>0.020029828817284927</v>
      </c>
      <c r="G28" s="230">
        <f>ROUND(9561600/100,0)*100</f>
        <v>9561600</v>
      </c>
      <c r="H28" s="227">
        <f t="shared" si="2"/>
        <v>0.020200291672133143</v>
      </c>
      <c r="I28" s="228">
        <f t="shared" si="3"/>
        <v>8781500</v>
      </c>
      <c r="J28" s="302">
        <f t="shared" si="5"/>
        <v>0.020200291672133143</v>
      </c>
      <c r="K28" s="309"/>
      <c r="L28" s="306">
        <f t="shared" si="4"/>
        <v>2539200</v>
      </c>
      <c r="M28" s="308"/>
      <c r="N28" s="186"/>
    </row>
    <row r="29" spans="1:14" ht="15">
      <c r="A29" s="221"/>
      <c r="B29" s="216" t="s">
        <v>91</v>
      </c>
      <c r="C29" s="186">
        <v>4252700</v>
      </c>
      <c r="D29" s="223">
        <f t="shared" si="0"/>
        <v>0.013557412503411111</v>
      </c>
      <c r="E29" s="231">
        <f>ROUND(6824880/100,0)*100-100</f>
        <v>6824800</v>
      </c>
      <c r="F29" s="225">
        <f t="shared" si="1"/>
        <v>0.014028094832288954</v>
      </c>
      <c r="G29" s="230">
        <f>ROUND(6535800/100,0)*100</f>
        <v>6535800</v>
      </c>
      <c r="H29" s="227">
        <f t="shared" si="2"/>
        <v>0.013807842443809382</v>
      </c>
      <c r="I29" s="228">
        <f t="shared" si="3"/>
        <v>6002500</v>
      </c>
      <c r="J29" s="302">
        <f t="shared" si="5"/>
        <v>0.013807842443809382</v>
      </c>
      <c r="K29" s="309"/>
      <c r="L29" s="306">
        <f t="shared" si="4"/>
        <v>1749800</v>
      </c>
      <c r="M29" s="308"/>
      <c r="N29" s="186"/>
    </row>
    <row r="30" spans="1:14" ht="15">
      <c r="A30" s="221"/>
      <c r="B30" s="216" t="s">
        <v>92</v>
      </c>
      <c r="C30" s="186">
        <v>7735600</v>
      </c>
      <c r="D30" s="223">
        <f t="shared" si="0"/>
        <v>0.024660737922117006</v>
      </c>
      <c r="E30" s="231">
        <f>ROUND(12276240/100,0)*100</f>
        <v>12276200</v>
      </c>
      <c r="F30" s="225">
        <f t="shared" si="1"/>
        <v>0.02523322262632541</v>
      </c>
      <c r="G30" s="230">
        <f>ROUND(11650320/100,0)*100</f>
        <v>11650300</v>
      </c>
      <c r="H30" s="227">
        <f t="shared" si="2"/>
        <v>0.02461297879725702</v>
      </c>
      <c r="I30" s="228">
        <f t="shared" si="3"/>
        <v>10699700</v>
      </c>
      <c r="J30" s="302">
        <f t="shared" si="5"/>
        <v>0.02461297879725702</v>
      </c>
      <c r="K30" s="309"/>
      <c r="L30" s="306">
        <f t="shared" si="4"/>
        <v>2964100</v>
      </c>
      <c r="M30" s="308"/>
      <c r="N30" s="186"/>
    </row>
    <row r="31" spans="1:13" ht="15">
      <c r="A31" s="221"/>
      <c r="B31" s="216"/>
      <c r="C31" s="232"/>
      <c r="D31" s="233"/>
      <c r="E31" s="218"/>
      <c r="F31" s="234"/>
      <c r="G31" s="218"/>
      <c r="H31" s="232"/>
      <c r="I31" s="264"/>
      <c r="J31" s="303"/>
      <c r="K31" s="310"/>
      <c r="L31" s="307"/>
      <c r="M31" s="308"/>
    </row>
    <row r="32" spans="1:13" ht="15">
      <c r="A32" s="235"/>
      <c r="B32" s="236" t="s">
        <v>22</v>
      </c>
      <c r="C32" s="237">
        <f aca="true" t="shared" si="6" ref="C32:J32">SUM(C8:C30)</f>
        <v>313680800</v>
      </c>
      <c r="D32" s="238">
        <f t="shared" si="6"/>
        <v>0.9999999999999999</v>
      </c>
      <c r="E32" s="239">
        <f t="shared" si="6"/>
        <v>486509400</v>
      </c>
      <c r="F32" s="240">
        <f t="shared" si="6"/>
        <v>0.9999999999999999</v>
      </c>
      <c r="G32" s="239">
        <f t="shared" si="6"/>
        <v>473339700</v>
      </c>
      <c r="H32" s="238">
        <f t="shared" si="6"/>
        <v>1.0000000000000002</v>
      </c>
      <c r="I32" s="239">
        <f>SUM(I8:I31)</f>
        <v>434719800</v>
      </c>
      <c r="J32" s="238">
        <f t="shared" si="6"/>
        <v>1.0000000000000002</v>
      </c>
      <c r="K32" s="311"/>
      <c r="L32" s="312">
        <f>SUM(L8:L31)</f>
        <v>121039000</v>
      </c>
      <c r="M32" s="313"/>
    </row>
    <row r="33" spans="3:13" ht="12.75">
      <c r="C33" s="241"/>
      <c r="D33" s="241"/>
      <c r="E33" s="241"/>
      <c r="F33" s="242"/>
      <c r="G33" s="241"/>
      <c r="H33" s="241"/>
      <c r="I33" s="243"/>
      <c r="J33" s="241"/>
      <c r="K33" s="241"/>
      <c r="L33" s="241"/>
      <c r="M33" s="243"/>
    </row>
    <row r="34" spans="1:14" ht="30" customHeight="1">
      <c r="A34" s="270">
        <v>1</v>
      </c>
      <c r="B34" s="335" t="s">
        <v>173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15"/>
    </row>
    <row r="35" spans="9:12" ht="12.75">
      <c r="I35" s="244"/>
      <c r="J35" s="244"/>
      <c r="K35" s="244"/>
      <c r="L35" s="244"/>
    </row>
  </sheetData>
  <sheetProtection/>
  <mergeCells count="5">
    <mergeCell ref="B34:M34"/>
    <mergeCell ref="E4:M4"/>
    <mergeCell ref="E5:F5"/>
    <mergeCell ref="I5:J5"/>
    <mergeCell ref="K5:M5"/>
  </mergeCells>
  <printOptions/>
  <pageMargins left="0.5" right="0.5" top="0.5" bottom="0.5" header="0.5" footer="0.5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5" sqref="Q15"/>
    </sheetView>
  </sheetViews>
  <sheetFormatPr defaultColWidth="9.33203125" defaultRowHeight="12.75"/>
  <cols>
    <col min="1" max="1" width="28.5" style="246" customWidth="1"/>
    <col min="2" max="2" width="17.66015625" style="246" bestFit="1" customWidth="1"/>
    <col min="3" max="3" width="27.16015625" style="247" customWidth="1"/>
    <col min="4" max="4" width="14.5" style="246" bestFit="1" customWidth="1"/>
    <col min="5" max="5" width="3.16015625" style="246" customWidth="1"/>
    <col min="6" max="6" width="14.5" style="246" bestFit="1" customWidth="1"/>
    <col min="7" max="7" width="3.16015625" style="246" customWidth="1"/>
    <col min="8" max="8" width="14.5" style="246" bestFit="1" customWidth="1"/>
    <col min="9" max="9" width="3.5" style="246" customWidth="1"/>
    <col min="10" max="10" width="14.5" style="247" bestFit="1" customWidth="1"/>
    <col min="11" max="16384" width="9.33203125" style="246" customWidth="1"/>
  </cols>
  <sheetData>
    <row r="1" ht="16.5">
      <c r="A1" s="245" t="s">
        <v>93</v>
      </c>
    </row>
    <row r="2" ht="15.75">
      <c r="A2" s="248" t="s">
        <v>100</v>
      </c>
    </row>
    <row r="3" ht="15.75">
      <c r="A3" s="248"/>
    </row>
    <row r="4" spans="1:10" s="247" customFormat="1" ht="21" customHeight="1">
      <c r="A4" s="249"/>
      <c r="B4" s="250"/>
      <c r="C4" s="249"/>
      <c r="D4" s="345" t="s">
        <v>94</v>
      </c>
      <c r="E4" s="345"/>
      <c r="F4" s="345"/>
      <c r="G4" s="345"/>
      <c r="H4" s="345"/>
      <c r="I4" s="345"/>
      <c r="J4" s="345"/>
    </row>
    <row r="5" spans="1:10" s="253" customFormat="1" ht="50.25">
      <c r="A5" s="251" t="s">
        <v>95</v>
      </c>
      <c r="B5" s="251" t="s">
        <v>96</v>
      </c>
      <c r="C5" s="251"/>
      <c r="D5" s="252">
        <v>39630</v>
      </c>
      <c r="E5" s="252"/>
      <c r="F5" s="252">
        <v>39722</v>
      </c>
      <c r="G5" s="252"/>
      <c r="H5" s="252">
        <v>39814</v>
      </c>
      <c r="I5" s="252"/>
      <c r="J5" s="252">
        <v>39904</v>
      </c>
    </row>
    <row r="6" spans="1:9" ht="15.75">
      <c r="A6" s="254"/>
      <c r="B6" s="247"/>
      <c r="D6" s="247"/>
      <c r="E6" s="247"/>
      <c r="F6" s="247"/>
      <c r="G6" s="247"/>
      <c r="H6" s="247"/>
      <c r="I6" s="247"/>
    </row>
    <row r="7" spans="1:10" ht="15.75">
      <c r="A7" s="255" t="s">
        <v>0</v>
      </c>
      <c r="B7" s="256">
        <v>137600</v>
      </c>
      <c r="C7" s="255"/>
      <c r="D7" s="255">
        <f>ROUND(B7/4,2)</f>
        <v>34400</v>
      </c>
      <c r="E7" s="255"/>
      <c r="F7" s="255">
        <f aca="true" t="shared" si="0" ref="F7:F29">D7</f>
        <v>34400</v>
      </c>
      <c r="G7" s="255"/>
      <c r="H7" s="255">
        <f aca="true" t="shared" si="1" ref="H7:H29">F7</f>
        <v>34400</v>
      </c>
      <c r="I7" s="255"/>
      <c r="J7" s="255">
        <f aca="true" t="shared" si="2" ref="J7:J29">H7</f>
        <v>34400</v>
      </c>
    </row>
    <row r="8" spans="1:10" ht="15.75">
      <c r="A8" s="257" t="s">
        <v>1</v>
      </c>
      <c r="B8" s="258">
        <v>58600</v>
      </c>
      <c r="C8" s="259"/>
      <c r="D8" s="259">
        <f aca="true" t="shared" si="3" ref="D8:D29">ROUND(B8/4,2)</f>
        <v>14650</v>
      </c>
      <c r="E8" s="259"/>
      <c r="F8" s="259">
        <f t="shared" si="0"/>
        <v>14650</v>
      </c>
      <c r="G8" s="259"/>
      <c r="H8" s="259">
        <f t="shared" si="1"/>
        <v>14650</v>
      </c>
      <c r="I8" s="259"/>
      <c r="J8" s="259">
        <f t="shared" si="2"/>
        <v>14650</v>
      </c>
    </row>
    <row r="9" spans="1:10" ht="15.75">
      <c r="A9" s="257" t="s">
        <v>2</v>
      </c>
      <c r="B9" s="258">
        <v>293100</v>
      </c>
      <c r="C9" s="259"/>
      <c r="D9" s="259">
        <f t="shared" si="3"/>
        <v>73275</v>
      </c>
      <c r="E9" s="259"/>
      <c r="F9" s="259">
        <f t="shared" si="0"/>
        <v>73275</v>
      </c>
      <c r="G9" s="259"/>
      <c r="H9" s="259">
        <f t="shared" si="1"/>
        <v>73275</v>
      </c>
      <c r="I9" s="259"/>
      <c r="J9" s="259">
        <f t="shared" si="2"/>
        <v>73275</v>
      </c>
    </row>
    <row r="10" spans="1:10" ht="15.75">
      <c r="A10" s="257" t="s">
        <v>3</v>
      </c>
      <c r="B10" s="258">
        <v>201500</v>
      </c>
      <c r="C10" s="259"/>
      <c r="D10" s="259">
        <f t="shared" si="3"/>
        <v>50375</v>
      </c>
      <c r="E10" s="259"/>
      <c r="F10" s="259">
        <f t="shared" si="0"/>
        <v>50375</v>
      </c>
      <c r="G10" s="259"/>
      <c r="H10" s="259">
        <f t="shared" si="1"/>
        <v>50375</v>
      </c>
      <c r="I10" s="259"/>
      <c r="J10" s="259">
        <f t="shared" si="2"/>
        <v>50375</v>
      </c>
    </row>
    <row r="11" spans="1:10" ht="15.75">
      <c r="A11" s="257" t="s">
        <v>29</v>
      </c>
      <c r="B11" s="258">
        <v>303900</v>
      </c>
      <c r="C11" s="259"/>
      <c r="D11" s="259">
        <f t="shared" si="3"/>
        <v>75975</v>
      </c>
      <c r="E11" s="259"/>
      <c r="F11" s="259">
        <f t="shared" si="0"/>
        <v>75975</v>
      </c>
      <c r="G11" s="259"/>
      <c r="H11" s="259">
        <f t="shared" si="1"/>
        <v>75975</v>
      </c>
      <c r="I11" s="259"/>
      <c r="J11" s="259">
        <f t="shared" si="2"/>
        <v>75975</v>
      </c>
    </row>
    <row r="12" spans="1:10" ht="15.75">
      <c r="A12" s="257" t="s">
        <v>4</v>
      </c>
      <c r="B12" s="258">
        <v>395600</v>
      </c>
      <c r="C12" s="259"/>
      <c r="D12" s="259">
        <f t="shared" si="3"/>
        <v>98900</v>
      </c>
      <c r="E12" s="259"/>
      <c r="F12" s="259">
        <f t="shared" si="0"/>
        <v>98900</v>
      </c>
      <c r="G12" s="259"/>
      <c r="H12" s="259">
        <f t="shared" si="1"/>
        <v>98900</v>
      </c>
      <c r="I12" s="259"/>
      <c r="J12" s="259">
        <f t="shared" si="2"/>
        <v>98900</v>
      </c>
    </row>
    <row r="13" spans="1:10" ht="15.75">
      <c r="A13" s="257" t="s">
        <v>5</v>
      </c>
      <c r="B13" s="258">
        <v>685100</v>
      </c>
      <c r="C13" s="259"/>
      <c r="D13" s="259">
        <f t="shared" si="3"/>
        <v>171275</v>
      </c>
      <c r="E13" s="259"/>
      <c r="F13" s="259">
        <f t="shared" si="0"/>
        <v>171275</v>
      </c>
      <c r="G13" s="259"/>
      <c r="H13" s="259">
        <f t="shared" si="1"/>
        <v>171275</v>
      </c>
      <c r="I13" s="259"/>
      <c r="J13" s="259">
        <f t="shared" si="2"/>
        <v>171275</v>
      </c>
    </row>
    <row r="14" spans="1:10" ht="15.75">
      <c r="A14" s="257" t="s">
        <v>6</v>
      </c>
      <c r="B14" s="258">
        <v>143300</v>
      </c>
      <c r="C14" s="259"/>
      <c r="D14" s="259">
        <f t="shared" si="3"/>
        <v>35825</v>
      </c>
      <c r="E14" s="259"/>
      <c r="F14" s="259">
        <f t="shared" si="0"/>
        <v>35825</v>
      </c>
      <c r="G14" s="259"/>
      <c r="H14" s="259">
        <f t="shared" si="1"/>
        <v>35825</v>
      </c>
      <c r="I14" s="259"/>
      <c r="J14" s="259">
        <f t="shared" si="2"/>
        <v>35825</v>
      </c>
    </row>
    <row r="15" spans="1:10" ht="15.75">
      <c r="A15" s="257" t="s">
        <v>7</v>
      </c>
      <c r="B15" s="258">
        <v>719900</v>
      </c>
      <c r="C15" s="259"/>
      <c r="D15" s="259">
        <f t="shared" si="3"/>
        <v>179975</v>
      </c>
      <c r="E15" s="259"/>
      <c r="F15" s="259">
        <f t="shared" si="0"/>
        <v>179975</v>
      </c>
      <c r="G15" s="259"/>
      <c r="H15" s="259">
        <f t="shared" si="1"/>
        <v>179975</v>
      </c>
      <c r="I15" s="259"/>
      <c r="J15" s="259">
        <f t="shared" si="2"/>
        <v>179975</v>
      </c>
    </row>
    <row r="16" spans="1:10" ht="15.75">
      <c r="A16" s="257" t="s">
        <v>8</v>
      </c>
      <c r="B16" s="258">
        <v>407200</v>
      </c>
      <c r="C16" s="259"/>
      <c r="D16" s="259">
        <f t="shared" si="3"/>
        <v>101800</v>
      </c>
      <c r="E16" s="259"/>
      <c r="F16" s="259">
        <f t="shared" si="0"/>
        <v>101800</v>
      </c>
      <c r="G16" s="259"/>
      <c r="H16" s="259">
        <f t="shared" si="1"/>
        <v>101800</v>
      </c>
      <c r="I16" s="259"/>
      <c r="J16" s="259">
        <f t="shared" si="2"/>
        <v>101800</v>
      </c>
    </row>
    <row r="17" spans="1:10" ht="15.75">
      <c r="A17" s="257" t="s">
        <v>9</v>
      </c>
      <c r="B17" s="258">
        <v>29600</v>
      </c>
      <c r="C17" s="259"/>
      <c r="D17" s="259">
        <f t="shared" si="3"/>
        <v>7400</v>
      </c>
      <c r="E17" s="259"/>
      <c r="F17" s="259">
        <f t="shared" si="0"/>
        <v>7400</v>
      </c>
      <c r="G17" s="259"/>
      <c r="H17" s="259">
        <f t="shared" si="1"/>
        <v>7400</v>
      </c>
      <c r="I17" s="259"/>
      <c r="J17" s="259">
        <f t="shared" si="2"/>
        <v>7400</v>
      </c>
    </row>
    <row r="18" spans="1:10" ht="15.75">
      <c r="A18" s="257" t="s">
        <v>10</v>
      </c>
      <c r="B18" s="258">
        <v>69800</v>
      </c>
      <c r="C18" s="259"/>
      <c r="D18" s="259">
        <f t="shared" si="3"/>
        <v>17450</v>
      </c>
      <c r="E18" s="259"/>
      <c r="F18" s="259">
        <f t="shared" si="0"/>
        <v>17450</v>
      </c>
      <c r="G18" s="259"/>
      <c r="H18" s="259">
        <f t="shared" si="1"/>
        <v>17450</v>
      </c>
      <c r="I18" s="259"/>
      <c r="J18" s="259">
        <f t="shared" si="2"/>
        <v>17450</v>
      </c>
    </row>
    <row r="19" spans="1:10" ht="15.75">
      <c r="A19" s="257" t="s">
        <v>11</v>
      </c>
      <c r="B19" s="258">
        <v>673200</v>
      </c>
      <c r="C19" s="259"/>
      <c r="D19" s="259">
        <f t="shared" si="3"/>
        <v>168300</v>
      </c>
      <c r="E19" s="259"/>
      <c r="F19" s="259">
        <f t="shared" si="0"/>
        <v>168300</v>
      </c>
      <c r="G19" s="259"/>
      <c r="H19" s="259">
        <f t="shared" si="1"/>
        <v>168300</v>
      </c>
      <c r="I19" s="259"/>
      <c r="J19" s="259">
        <f t="shared" si="2"/>
        <v>168300</v>
      </c>
    </row>
    <row r="20" spans="1:10" ht="15.75">
      <c r="A20" s="257" t="s">
        <v>12</v>
      </c>
      <c r="B20" s="258">
        <v>389800</v>
      </c>
      <c r="C20" s="259"/>
      <c r="D20" s="259">
        <f t="shared" si="3"/>
        <v>97450</v>
      </c>
      <c r="E20" s="259"/>
      <c r="F20" s="259">
        <f t="shared" si="0"/>
        <v>97450</v>
      </c>
      <c r="G20" s="259"/>
      <c r="H20" s="259">
        <f t="shared" si="1"/>
        <v>97450</v>
      </c>
      <c r="I20" s="259"/>
      <c r="J20" s="259">
        <f t="shared" si="2"/>
        <v>97450</v>
      </c>
    </row>
    <row r="21" spans="1:10" ht="15.75">
      <c r="A21" s="257" t="s">
        <v>13</v>
      </c>
      <c r="B21" s="258">
        <v>483300</v>
      </c>
      <c r="C21" s="259"/>
      <c r="D21" s="259">
        <f t="shared" si="3"/>
        <v>120825</v>
      </c>
      <c r="E21" s="259"/>
      <c r="F21" s="259">
        <f t="shared" si="0"/>
        <v>120825</v>
      </c>
      <c r="G21" s="259"/>
      <c r="H21" s="259">
        <f t="shared" si="1"/>
        <v>120825</v>
      </c>
      <c r="I21" s="259"/>
      <c r="J21" s="259">
        <f t="shared" si="2"/>
        <v>120825</v>
      </c>
    </row>
    <row r="22" spans="1:10" ht="15.75">
      <c r="A22" s="257" t="s">
        <v>14</v>
      </c>
      <c r="B22" s="258">
        <v>329500</v>
      </c>
      <c r="C22" s="259"/>
      <c r="D22" s="259">
        <f t="shared" si="3"/>
        <v>82375</v>
      </c>
      <c r="E22" s="259"/>
      <c r="F22" s="259">
        <f t="shared" si="0"/>
        <v>82375</v>
      </c>
      <c r="G22" s="259"/>
      <c r="H22" s="259">
        <f t="shared" si="1"/>
        <v>82375</v>
      </c>
      <c r="I22" s="259"/>
      <c r="J22" s="259">
        <f t="shared" si="2"/>
        <v>82375</v>
      </c>
    </row>
    <row r="23" spans="1:10" ht="15.75">
      <c r="A23" s="257" t="s">
        <v>15</v>
      </c>
      <c r="B23" s="258">
        <v>678800</v>
      </c>
      <c r="C23" s="259"/>
      <c r="D23" s="259">
        <f t="shared" si="3"/>
        <v>169700</v>
      </c>
      <c r="E23" s="259"/>
      <c r="F23" s="259">
        <f t="shared" si="0"/>
        <v>169700</v>
      </c>
      <c r="G23" s="259"/>
      <c r="H23" s="259">
        <f t="shared" si="1"/>
        <v>169700</v>
      </c>
      <c r="I23" s="259"/>
      <c r="J23" s="259">
        <f t="shared" si="2"/>
        <v>169700</v>
      </c>
    </row>
    <row r="24" spans="1:10" ht="15.75">
      <c r="A24" s="257" t="s">
        <v>16</v>
      </c>
      <c r="B24" s="258">
        <v>643300</v>
      </c>
      <c r="C24" s="259"/>
      <c r="D24" s="259">
        <f t="shared" si="3"/>
        <v>160825</v>
      </c>
      <c r="E24" s="259"/>
      <c r="F24" s="259">
        <f t="shared" si="0"/>
        <v>160825</v>
      </c>
      <c r="G24" s="259"/>
      <c r="H24" s="259">
        <f t="shared" si="1"/>
        <v>160825</v>
      </c>
      <c r="I24" s="259"/>
      <c r="J24" s="259">
        <f t="shared" si="2"/>
        <v>160825</v>
      </c>
    </row>
    <row r="25" spans="1:10" ht="15.75">
      <c r="A25" s="257" t="s">
        <v>17</v>
      </c>
      <c r="B25" s="258">
        <v>596100</v>
      </c>
      <c r="C25" s="259"/>
      <c r="D25" s="259">
        <f t="shared" si="3"/>
        <v>149025</v>
      </c>
      <c r="E25" s="259"/>
      <c r="F25" s="259">
        <f t="shared" si="0"/>
        <v>149025</v>
      </c>
      <c r="G25" s="259"/>
      <c r="H25" s="259">
        <f t="shared" si="1"/>
        <v>149025</v>
      </c>
      <c r="I25" s="259"/>
      <c r="J25" s="259">
        <f t="shared" si="2"/>
        <v>149025</v>
      </c>
    </row>
    <row r="26" spans="1:10" ht="15.75">
      <c r="A26" s="257" t="s">
        <v>18</v>
      </c>
      <c r="B26" s="258">
        <v>445600</v>
      </c>
      <c r="C26" s="259"/>
      <c r="D26" s="259">
        <f t="shared" si="3"/>
        <v>111400</v>
      </c>
      <c r="E26" s="259"/>
      <c r="F26" s="259">
        <f t="shared" si="0"/>
        <v>111400</v>
      </c>
      <c r="G26" s="259"/>
      <c r="H26" s="259">
        <f t="shared" si="1"/>
        <v>111400</v>
      </c>
      <c r="I26" s="259"/>
      <c r="J26" s="259">
        <f t="shared" si="2"/>
        <v>111400</v>
      </c>
    </row>
    <row r="27" spans="1:10" ht="15.75">
      <c r="A27" s="257" t="s">
        <v>19</v>
      </c>
      <c r="B27" s="258">
        <v>160500</v>
      </c>
      <c r="C27" s="259"/>
      <c r="D27" s="259">
        <f t="shared" si="3"/>
        <v>40125</v>
      </c>
      <c r="E27" s="259"/>
      <c r="F27" s="259">
        <f t="shared" si="0"/>
        <v>40125</v>
      </c>
      <c r="G27" s="259"/>
      <c r="H27" s="259">
        <f t="shared" si="1"/>
        <v>40125</v>
      </c>
      <c r="I27" s="259"/>
      <c r="J27" s="259">
        <f t="shared" si="2"/>
        <v>40125</v>
      </c>
    </row>
    <row r="28" spans="1:10" ht="15.75">
      <c r="A28" s="257" t="s">
        <v>20</v>
      </c>
      <c r="B28" s="258">
        <v>149700</v>
      </c>
      <c r="C28" s="259"/>
      <c r="D28" s="259">
        <f t="shared" si="3"/>
        <v>37425</v>
      </c>
      <c r="E28" s="259"/>
      <c r="F28" s="259">
        <f t="shared" si="0"/>
        <v>37425</v>
      </c>
      <c r="G28" s="259"/>
      <c r="H28" s="259">
        <f t="shared" si="1"/>
        <v>37425</v>
      </c>
      <c r="I28" s="259"/>
      <c r="J28" s="259">
        <f t="shared" si="2"/>
        <v>37425</v>
      </c>
    </row>
    <row r="29" spans="1:10" ht="15.75">
      <c r="A29" s="257" t="s">
        <v>21</v>
      </c>
      <c r="B29" s="260">
        <v>155000</v>
      </c>
      <c r="C29" s="259"/>
      <c r="D29" s="261">
        <f t="shared" si="3"/>
        <v>38750</v>
      </c>
      <c r="E29" s="259"/>
      <c r="F29" s="261">
        <f t="shared" si="0"/>
        <v>38750</v>
      </c>
      <c r="G29" s="259"/>
      <c r="H29" s="261">
        <f t="shared" si="1"/>
        <v>38750</v>
      </c>
      <c r="I29" s="259"/>
      <c r="J29" s="261">
        <f t="shared" si="2"/>
        <v>38750</v>
      </c>
    </row>
    <row r="30" spans="1:9" ht="9" customHeight="1">
      <c r="A30" s="257"/>
      <c r="B30" s="247"/>
      <c r="D30" s="247"/>
      <c r="E30" s="247"/>
      <c r="F30" s="247"/>
      <c r="G30" s="247"/>
      <c r="H30" s="247"/>
      <c r="I30" s="247"/>
    </row>
    <row r="31" spans="1:10" s="263" customFormat="1" ht="15.75">
      <c r="A31" s="262" t="s">
        <v>97</v>
      </c>
      <c r="B31" s="262">
        <f>SUM(B7:B29)</f>
        <v>8150000</v>
      </c>
      <c r="C31" s="262"/>
      <c r="D31" s="262">
        <f>SUM(D7:D30)</f>
        <v>2037500</v>
      </c>
      <c r="E31" s="262"/>
      <c r="F31" s="262">
        <f>SUM(F7:F30)</f>
        <v>2037500</v>
      </c>
      <c r="G31" s="262"/>
      <c r="H31" s="262">
        <f>SUM(H7:H30)</f>
        <v>2037500</v>
      </c>
      <c r="I31" s="262"/>
      <c r="J31" s="262">
        <f>SUM(J7:J30)</f>
        <v>2037500</v>
      </c>
    </row>
    <row r="32" spans="1:9" ht="15.75">
      <c r="A32" s="257"/>
      <c r="B32" s="247"/>
      <c r="D32" s="247"/>
      <c r="E32" s="247"/>
      <c r="F32" s="247"/>
      <c r="G32" s="247"/>
      <c r="H32" s="247"/>
      <c r="I32" s="247"/>
    </row>
    <row r="34" spans="1:10" ht="49.5" customHeight="1">
      <c r="A34" s="346" t="s">
        <v>98</v>
      </c>
      <c r="B34" s="347"/>
      <c r="C34" s="347"/>
      <c r="D34" s="347"/>
      <c r="E34" s="347"/>
      <c r="F34" s="347"/>
      <c r="G34" s="347"/>
      <c r="H34" s="347"/>
      <c r="I34" s="347"/>
      <c r="J34" s="347"/>
    </row>
    <row r="35" spans="1:10" ht="30.75" customHeight="1">
      <c r="A35" s="348" t="s">
        <v>99</v>
      </c>
      <c r="B35" s="348"/>
      <c r="C35" s="348"/>
      <c r="D35" s="348"/>
      <c r="E35" s="348"/>
      <c r="F35" s="348"/>
      <c r="G35" s="348"/>
      <c r="H35" s="348"/>
      <c r="I35" s="348"/>
      <c r="J35" s="348"/>
    </row>
  </sheetData>
  <sheetProtection/>
  <mergeCells count="3">
    <mergeCell ref="D4:J4"/>
    <mergeCell ref="A34:J34"/>
    <mergeCell ref="A35:J35"/>
  </mergeCells>
  <printOptions/>
  <pageMargins left="1" right="0.5" top="1" bottom="0.5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ccanfield</cp:lastModifiedBy>
  <cp:lastPrinted>2009-07-31T18:07:52Z</cp:lastPrinted>
  <dcterms:created xsi:type="dcterms:W3CDTF">2005-01-20T22:46:37Z</dcterms:created>
  <dcterms:modified xsi:type="dcterms:W3CDTF">2009-07-31T18:25:07Z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72WVDYXX2UNK-1717399031-65</vt:lpwstr>
  </property>
  <property fmtid="{D5CDD505-2E9C-101B-9397-08002B2CF9AE}" pid="4" name="_dlc_DocIdItemGu">
    <vt:lpwstr>da8db598-d487-4416-95b6-7528801b9445</vt:lpwstr>
  </property>
  <property fmtid="{D5CDD505-2E9C-101B-9397-08002B2CF9AE}" pid="5" name="_dlc_DocIdU">
    <vt:lpwstr>https://www2.calstate.edu/csu-system/about-the-csu/budget/_layouts/15/DocIdRedir.aspx?ID=72WVDYXX2UNK-1717399031-65, 72WVDYXX2UNK-1717399031-65</vt:lpwstr>
  </property>
</Properties>
</file>