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600" yWindow="65521" windowWidth="12645" windowHeight="11115" tabRatio="569" activeTab="0"/>
  </bookViews>
  <sheets>
    <sheet name="(A) Budget Summary" sheetId="1" r:id="rId1"/>
    <sheet name="(B) Base Bud Adj" sheetId="2" r:id="rId2"/>
    <sheet name="(C) 10-11 Expenditure Increases" sheetId="3" r:id="rId3"/>
    <sheet name="(D) SUF Revenue-310,317" sheetId="4" r:id="rId4"/>
    <sheet name="(E) SUF Revenue-326,290" sheetId="5" r:id="rId5"/>
    <sheet name="(F) SUG" sheetId="6" r:id="rId6"/>
    <sheet name="(G) 2010-11 FTES Assumptions" sheetId="7" r:id="rId7"/>
    <sheet name="(H) Interest Pymt Schedule" sheetId="8" r:id="rId8"/>
  </sheets>
  <definedNames>
    <definedName name="_xlnm.Print_Area" localSheetId="0">'(A) Budget Summary'!$A$1:$S$43</definedName>
    <definedName name="_xlnm.Print_Area" localSheetId="1">'(B) Base Bud Adj'!$A$1:$AA$42</definedName>
    <definedName name="_xlnm.Print_Area" localSheetId="2">'(C) 10-11 Expenditure Increases'!$A$1:$T$43</definedName>
    <definedName name="_xlnm.Print_Area" localSheetId="3">'(D) SUF Revenue-310,317'!$A$1:$AA$42</definedName>
    <definedName name="_xlnm.Print_Area" localSheetId="4">'(E) SUF Revenue-326,290'!$A$1:$Y$45</definedName>
    <definedName name="_xlnm.Print_Area" localSheetId="5">'(F) SUG'!$A$1:$O$35</definedName>
    <definedName name="_xlnm.Print_Area" localSheetId="6">'(G) 2010-11 FTES Assumptions'!$A$1:$P$43</definedName>
    <definedName name="_xlnm.Print_Area" localSheetId="7">'(H) Interest Pymt Schedule'!$A$1:$J$35</definedName>
    <definedName name="_xlnm.Print_Titles" localSheetId="3">'(D) SUF Revenue-310,317'!$A:$A</definedName>
    <definedName name="_xlnm.Print_Titles" localSheetId="4">'(E) SUF Revenue-326,290'!$A:$A</definedName>
  </definedNames>
  <calcPr fullCalcOnLoad="1"/>
</workbook>
</file>

<file path=xl/comments5.xml><?xml version="1.0" encoding="utf-8"?>
<comments xmlns="http://schemas.openxmlformats.org/spreadsheetml/2006/main">
  <authors>
    <author>Wayne Nishioka</author>
  </authors>
  <commentList>
    <comment ref="O26" authorId="0">
      <text>
        <r>
          <rPr>
            <b/>
            <sz val="8"/>
            <rFont val="Tahoma"/>
            <family val="2"/>
          </rPr>
          <t>Wayne Nishioka:</t>
        </r>
        <r>
          <rPr>
            <sz val="8"/>
            <rFont val="Tahoma"/>
            <family val="2"/>
          </rPr>
          <t xml:space="preserve">
added $1,000 rounding</t>
        </r>
      </text>
    </comment>
    <comment ref="O24" authorId="0">
      <text>
        <r>
          <rPr>
            <b/>
            <sz val="8"/>
            <rFont val="Tahoma"/>
            <family val="2"/>
          </rPr>
          <t>Wayne Nishioka:</t>
        </r>
        <r>
          <rPr>
            <sz val="8"/>
            <rFont val="Tahoma"/>
            <family val="2"/>
          </rPr>
          <t xml:space="preserve">
added $1,000 rounding</t>
        </r>
      </text>
    </comment>
    <comment ref="M20" authorId="0">
      <text>
        <r>
          <rPr>
            <b/>
            <sz val="8"/>
            <rFont val="Tahoma"/>
            <family val="2"/>
          </rPr>
          <t>Wayne Nishioka:</t>
        </r>
        <r>
          <rPr>
            <sz val="8"/>
            <rFont val="Tahoma"/>
            <family val="2"/>
          </rPr>
          <t xml:space="preserve">
added $1,000 rounding</t>
        </r>
      </text>
    </comment>
  </commentList>
</comments>
</file>

<file path=xl/comments6.xml><?xml version="1.0" encoding="utf-8"?>
<comments xmlns="http://schemas.openxmlformats.org/spreadsheetml/2006/main">
  <authors>
    <author>ccanfield</author>
  </authors>
  <commentList>
    <comment ref="I18" authorId="0">
      <text>
        <r>
          <rPr>
            <b/>
            <sz val="10"/>
            <rFont val="Tahoma"/>
            <family val="2"/>
          </rPr>
          <t>ccanfield:</t>
        </r>
        <r>
          <rPr>
            <sz val="10"/>
            <rFont val="Tahoma"/>
            <family val="2"/>
          </rPr>
          <t xml:space="preserve">
+$100 for rounding</t>
        </r>
      </text>
    </comment>
  </commentList>
</comments>
</file>

<file path=xl/sharedStrings.xml><?xml version="1.0" encoding="utf-8"?>
<sst xmlns="http://schemas.openxmlformats.org/spreadsheetml/2006/main" count="435" uniqueCount="222">
  <si>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</si>
  <si>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</si>
  <si>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</si>
  <si>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</si>
  <si>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</si>
  <si>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</si>
  <si>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</si>
  <si>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</si>
  <si>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</si>
  <si>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</si>
  <si>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</si>
  <si>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</si>
  <si>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</si>
  <si>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</si>
  <si>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</si>
  <si>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</si>
  <si>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</si>
  <si>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</si>
  <si>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</si>
  <si>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</si>
  <si>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</si>
  <si>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</si>
  <si>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</si>
  <si>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</si>
  <si>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</si>
  <si>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</si>
  <si>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</si>
  <si>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</si>
  <si>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Campus Reported Gross         Final Budget</t>
  </si>
  <si>
    <t>East Bay</t>
  </si>
  <si>
    <t>Campus Reported State University Fee Revenue</t>
  </si>
  <si>
    <r>
      <t>Other Fee Revenue and SWP Reim.</t>
    </r>
    <r>
      <rPr>
        <vertAlign val="superscript"/>
        <sz val="10"/>
        <rFont val="Times New Roman"/>
        <family val="1"/>
      </rPr>
      <t>1</t>
    </r>
  </si>
  <si>
    <t>CalStateTeach</t>
  </si>
  <si>
    <r>
      <t xml:space="preserve">Revised General Fund Base              </t>
    </r>
    <r>
      <rPr>
        <i/>
        <sz val="9"/>
        <color indexed="8"/>
        <rFont val="Times New Roman"/>
        <family val="1"/>
      </rPr>
      <t>(with retirement adjustment)</t>
    </r>
  </si>
  <si>
    <t>Energy</t>
  </si>
  <si>
    <t>Health</t>
  </si>
  <si>
    <t>Quarterly Payment Schedule</t>
  </si>
  <si>
    <t>Campus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</si>
  <si>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</si>
  <si>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</si>
  <si>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>2010/11 Gross Budget Allocation</t>
  </si>
  <si>
    <t>2009/10 FIRMS Final Budget Detail</t>
  </si>
  <si>
    <r>
      <t>B 09-02 General Fund Allocation</t>
    </r>
  </si>
  <si>
    <t>(Sum Cols. 1-3)</t>
  </si>
  <si>
    <r>
      <t>(=Col. 3)</t>
    </r>
    <r>
      <rPr>
        <i/>
        <vertAlign val="superscript"/>
        <sz val="9"/>
        <rFont val="Times New Roman"/>
        <family val="1"/>
      </rPr>
      <t>1</t>
    </r>
  </si>
  <si>
    <t>2009/10 Retirement Adjustment</t>
  </si>
  <si>
    <t>2009/10 B 09-02 General Fund Allocation</t>
  </si>
  <si>
    <t>(Cols. 3 + 6)</t>
  </si>
  <si>
    <t xml:space="preserve">The 2010/11 interest chargeback by campus is based on the campus operating revenue equivalent to the 2009/10 SUF and Other Fee Revenue reported in 2009/10 FIRMS final budget submissions. </t>
  </si>
  <si>
    <t>GF Base Expenditure Adjustment from Change in $571M Distribution</t>
  </si>
  <si>
    <t>2010/11           General Fund Base (after base budget adjustments)</t>
  </si>
  <si>
    <t>GF Base Adjustments (SWPs)</t>
  </si>
  <si>
    <t>Unadjusted Other Fee Revenue and Reim.</t>
  </si>
  <si>
    <t>2010/11 Budget Plan</t>
  </si>
  <si>
    <r>
      <t xml:space="preserve">Revised General Fund Base             </t>
    </r>
    <r>
      <rPr>
        <i/>
        <sz val="9"/>
        <color indexed="8"/>
        <rFont val="Times New Roman"/>
        <family val="1"/>
      </rPr>
      <t xml:space="preserve"> (after redistrib. of GF base expenditure reduction)</t>
    </r>
  </si>
  <si>
    <t>(Cols. 1 + 2)</t>
  </si>
  <si>
    <t>2009/10 B 09-02, $571M General Fund Base Expenditure Reduction Distribution</t>
  </si>
  <si>
    <t>2010/11 $571M General Fund Base Expenditure Reduction Distribution</t>
  </si>
  <si>
    <t>Enrollment Decline from 342,893 to 310,317 FTES Target</t>
  </si>
  <si>
    <t>= Col. 2</t>
  </si>
  <si>
    <t>Grand Total</t>
  </si>
  <si>
    <t>Sub-Totals</t>
  </si>
  <si>
    <t>Change in Student Enrollment Patterns</t>
  </si>
  <si>
    <t>Resident Student Enrollment Reduction</t>
  </si>
  <si>
    <r>
      <t xml:space="preserve">Change in Student Enrollment Patterns </t>
    </r>
    <r>
      <rPr>
        <vertAlign val="superscript"/>
        <sz val="10.5"/>
        <color indexed="8"/>
        <rFont val="Times New Roman"/>
        <family val="1"/>
      </rPr>
      <t>2</t>
    </r>
  </si>
  <si>
    <t>2009/10 Allocations From Final Budget Memo - July 2009</t>
  </si>
  <si>
    <t>SUG Academic Year (AY) Eligibility Based on 2008/09 Final Database With 2010/11 Fee Levels</t>
  </si>
  <si>
    <t>SUG AY Eligibility Further Adjusted to Reflect Funded Enrollment Targets from 2008/09 to 2010/11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</si>
  <si>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</si>
  <si>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</si>
  <si>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</si>
  <si>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</si>
  <si>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</si>
  <si>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</si>
  <si>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</si>
  <si>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</si>
  <si>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</si>
  <si>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</si>
  <si>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</si>
  <si>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</si>
  <si>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</si>
  <si>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</si>
  <si>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</si>
  <si>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</si>
  <si>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</si>
  <si>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</si>
  <si>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</si>
  <si>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</si>
  <si>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</si>
  <si>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-1/3rd of Col. 8</t>
  </si>
  <si>
    <t>Adjustments in SUG Set-Aside from Enrollment Decline and Summer SUF Rate Change</t>
  </si>
  <si>
    <t>Adjustments in SUG Set-Aside from Summer SUF Rate Change</t>
  </si>
  <si>
    <t>-1/3rd of Col. 5</t>
  </si>
  <si>
    <t>-1/3rd of Col. 10</t>
  </si>
  <si>
    <t>Col. 1 + 7</t>
  </si>
  <si>
    <t>Col. 3 + 8</t>
  </si>
  <si>
    <t>Col. 4 + 9</t>
  </si>
  <si>
    <t>Col. 5 + 10</t>
  </si>
  <si>
    <t>Col. 6 + 11</t>
  </si>
  <si>
    <t>2010/11 SUF Revenue Adjustment - Provisional before Financial Aid Adjustment</t>
  </si>
  <si>
    <t>Financial Aid Adjustment</t>
  </si>
  <si>
    <t>2010/11 SUF Revenue Adjustment - Provisional Net of Financial Aid</t>
  </si>
  <si>
    <t>Col. 15 + 17</t>
  </si>
  <si>
    <t>Col. 18 + 19</t>
  </si>
  <si>
    <t>TOTALS</t>
  </si>
  <si>
    <t>Cols. 12+13+14+16</t>
  </si>
  <si>
    <t>SUF Revenue</t>
  </si>
  <si>
    <t>State University Fee Revenue</t>
  </si>
  <si>
    <t>09-10 FTES Target</t>
  </si>
  <si>
    <t>column hide</t>
  </si>
  <si>
    <t>-1/3rd of Col. 3 &amp;-$791 2009/10 MC SUG * FTES decline</t>
  </si>
  <si>
    <t>(Cols. 2 + 6 + 8-10)</t>
  </si>
  <si>
    <t>(Cols. 1+11)</t>
  </si>
  <si>
    <t>(Attach. B, Col. 11)</t>
  </si>
  <si>
    <t>2009/10 SUF Rate Change Applied to Lagging Summer Term for Rate Change Purposes</t>
  </si>
  <si>
    <t>Represents other CSU Operating Fund fee revenue besides State University Fee; the only reimbursement shown is lease bond payments in SWPs and the 2010/11 amount is a placeholder</t>
  </si>
  <si>
    <t>(Cols. 5 - 4)</t>
  </si>
  <si>
    <t>(Cols. 2 - 1)</t>
  </si>
  <si>
    <t>2010/11 Gov. Bud. Revenue Equiv. to Full-AY 10% SUF Rate Increase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</si>
  <si>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2010/11 operating revenue interest assessment is $7.2M, which represents a -$.91M adjustment from the 2009/10 $8.15M level.  CSU is obligated by budget statute to keep the state whole for interest earned on student fee revenue held in trust. This was the result of a state/CSU agreement when CSU support operations moved from the GF to the Trust Fund in 2006/07. </t>
    </r>
  </si>
  <si>
    <t>(Included with the 2010/11 budget allocation memo for information only)</t>
  </si>
  <si>
    <t>One-Third Financial Aid Set-Aside on Gov. Bud. SUF Revenue Increase</t>
  </si>
  <si>
    <t>ATTACHMENT H - CSU Operating Revenue - 2010/11 Interest Payment Schedule</t>
  </si>
  <si>
    <t>CSU Resident Full-Time Equivalent Students</t>
  </si>
  <si>
    <t>2009/10 Funded FTES Target B-10-02</t>
  </si>
  <si>
    <t>9.5% Planned 2010/11 Base Enrollment Reduction</t>
  </si>
  <si>
    <t>2010/11 Budgeted FTES Target; Ref: B-10-02</t>
  </si>
  <si>
    <t>Permanent 2010/11 Base Adjustments</t>
  </si>
  <si>
    <t>(Sum Cols.1-2)</t>
  </si>
  <si>
    <t>(Sum Cols.3-4)</t>
  </si>
  <si>
    <t>(Cols. 7-8)</t>
  </si>
  <si>
    <r>
      <t xml:space="preserve">2010/11 Non-resident FTES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</si>
  <si>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Total Resident FTES in Budget Act of 2010 is 339,873.  Financial aid set-aside from additional resident FTES fee revenue up to the 339,873 FTES will be included in a supplemental allocation upon confirmation of further attainable increases in enrollment.  </t>
    </r>
  </si>
  <si>
    <t>Col. 20 + 21</t>
  </si>
  <si>
    <t>Col. 17 + 19</t>
  </si>
  <si>
    <t>Cols. 13+14+15+16+18</t>
  </si>
  <si>
    <t>Col. 7 + 12</t>
  </si>
  <si>
    <t>Col. 5+10</t>
  </si>
  <si>
    <t>= Col. 3</t>
  </si>
  <si>
    <t>Col. 1 + 8</t>
  </si>
  <si>
    <t>-1/3rd of Col. 11</t>
  </si>
  <si>
    <t>-1/3rd of Col. 9</t>
  </si>
  <si>
    <t>-1/3rd of Col. 6</t>
  </si>
  <si>
    <r>
      <t xml:space="preserve">Change in Student Enrollment Patterns </t>
    </r>
    <r>
      <rPr>
        <vertAlign val="superscript"/>
        <sz val="10.5"/>
        <rFont val="Times New Roman"/>
        <family val="1"/>
      </rPr>
      <t>2</t>
    </r>
  </si>
  <si>
    <t>B 10-04 Revised Total Financial Aid Set-Aside Adjustment</t>
  </si>
  <si>
    <t>B 10-04 Financial Aid / SUG Distribution Based on Need</t>
  </si>
  <si>
    <t>Coded Memo B 10-04, October 22, 2010</t>
  </si>
  <si>
    <t>2010/11 SUF Revenue - 5% Fall Term and 5% Mid-Year</t>
  </si>
  <si>
    <t>One-Third Financial Aid Set-Aside on SUF Rate Increases</t>
  </si>
  <si>
    <r>
      <t xml:space="preserve">ATTACHMENT D -- 2010/11 </t>
    </r>
    <r>
      <rPr>
        <b/>
        <i/>
        <u val="single"/>
        <sz val="13"/>
        <color indexed="8"/>
        <rFont val="Times New Roman"/>
        <family val="1"/>
      </rPr>
      <t>August</t>
    </r>
    <r>
      <rPr>
        <b/>
        <i/>
        <sz val="13"/>
        <color indexed="8"/>
        <rFont val="Times New Roman"/>
        <family val="1"/>
      </rPr>
      <t xml:space="preserve"> Budget SUF Revenue Adjustment (provided for informational purposes)</t>
    </r>
  </si>
  <si>
    <r>
      <t xml:space="preserve">ATTACHMENT D -- </t>
    </r>
    <r>
      <rPr>
        <b/>
        <i/>
        <u val="single"/>
        <sz val="13"/>
        <color indexed="8"/>
        <rFont val="Times New Roman"/>
        <family val="1"/>
      </rPr>
      <t>August</t>
    </r>
    <r>
      <rPr>
        <b/>
        <i/>
        <sz val="13"/>
        <color indexed="8"/>
        <rFont val="Times New Roman"/>
        <family val="1"/>
      </rPr>
      <t xml:space="preserve"> SUF Revenue Adjustment (CONT.)</t>
    </r>
  </si>
  <si>
    <t>(Attach. E, Col. 20)</t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</si>
  <si>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Represents change in actual student enrollment patterns from 2007/08 to 2008/09 (most recent past-year actual available at Governor's Budget)</t>
    </r>
  </si>
  <si>
    <r>
      <t xml:space="preserve">Resident Students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</si>
  <si>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Nonresident Students </t>
    </r>
    <r>
      <rPr>
        <b/>
        <vertAlign val="superscript"/>
        <sz val="11"/>
        <color indexed="8"/>
        <rFont val="Times New Roman"/>
        <family val="1"/>
      </rPr>
      <t>1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</si>
  <si>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Reference Attachment G for corresponding FTES by campus.</t>
    </r>
  </si>
  <si>
    <r>
      <t xml:space="preserve">Resident Students </t>
    </r>
    <r>
      <rPr>
        <b/>
        <vertAlign val="superscript"/>
        <sz val="11"/>
        <rFont val="Times New Roman"/>
        <family val="1"/>
      </rPr>
      <t>1</t>
    </r>
  </si>
  <si>
    <r>
      <t xml:space="preserve">Nonresident Students </t>
    </r>
    <r>
      <rPr>
        <b/>
        <vertAlign val="superscript"/>
        <sz val="11"/>
        <rFont val="Times New Roman"/>
        <family val="1"/>
      </rPr>
      <t>1</t>
    </r>
  </si>
  <si>
    <r>
      <t>Adjustments in SUG Set-Aside from Enrollment Decline/Growth and Summer SUF Rate Change</t>
    </r>
    <r>
      <rPr>
        <vertAlign val="superscript"/>
        <sz val="10"/>
        <rFont val="Times New Roman"/>
        <family val="1"/>
      </rPr>
      <t xml:space="preserve"> 4</t>
    </r>
  </si>
  <si>
    <t>2010/11 SUF Revenue Adjustment</t>
  </si>
  <si>
    <t>CSU 2010/11 Resident FTES Base Target</t>
  </si>
  <si>
    <t>Mandatory Costs</t>
  </si>
  <si>
    <t>Enrollment</t>
  </si>
  <si>
    <r>
      <t xml:space="preserve">2010/11 FTES B 10-04 Baseline </t>
    </r>
    <r>
      <rPr>
        <vertAlign val="superscript"/>
        <sz val="11"/>
        <rFont val="Times New Roman"/>
        <family val="1"/>
      </rPr>
      <t>1</t>
    </r>
  </si>
  <si>
    <t>2010/11 FTES Target - 9/27/10 FTES Allocation</t>
  </si>
  <si>
    <t>09/27/10 FTES Allocation</t>
  </si>
  <si>
    <t xml:space="preserve">2010/11 Total FTES </t>
  </si>
  <si>
    <t>B 10-04 Authorized Supplemental FTES Allocation</t>
  </si>
  <si>
    <t>(Cols.5 + 9)</t>
  </si>
  <si>
    <t>Operating Support Restoration</t>
  </si>
  <si>
    <t>Funding</t>
  </si>
  <si>
    <t>FTES Increase</t>
  </si>
  <si>
    <t>Final Target</t>
  </si>
  <si>
    <t>CSU Supple-ment</t>
  </si>
  <si>
    <t>Enrollment Funding @$7,305 MC</t>
  </si>
  <si>
    <t>(Attach. C, Col. 9)</t>
  </si>
  <si>
    <t>General Fund w/Federal Funds</t>
  </si>
  <si>
    <t>2010/11 Budget Act Resident FTES Increase</t>
  </si>
  <si>
    <r>
      <t xml:space="preserve">2010/11 Budget Act Resident FTES Final Target </t>
    </r>
    <r>
      <rPr>
        <vertAlign val="superscript"/>
        <sz val="11"/>
        <color indexed="8"/>
        <rFont val="Times New Roman"/>
        <family val="1"/>
      </rPr>
      <t>1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</si>
  <si>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Total resident FTES in Budget Act of 2010 is 339,873.  Funding for additional resident FTES up to the 339,873 will be included in a supplemental allocation upon confirmation of further attainable increases in enrollment.  For purposes of fee revenue and SUG calculations, the 2010/11 FTES B 10-04 baseline is 326,290 FTES.</t>
    </r>
  </si>
  <si>
    <t>(Cols. 2 + 7)</t>
  </si>
  <si>
    <t>(Cols. 1 + 5 + 6)</t>
  </si>
  <si>
    <t>(Sum Cols. 8-10)</t>
  </si>
  <si>
    <r>
      <t xml:space="preserve">New Space Need </t>
    </r>
    <r>
      <rPr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</si>
  <si>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Based on 2010/11 new space need @ $9.73 sq. ft.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</si>
  <si>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Reference Attachment G for corresponding FTES by campus.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</si>
  <si>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Represents change in actual student enrollment patterns from 2007/08 to 2008/09 (most recent past-year actual available at Governor's Budget).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</si>
  <si>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Amounts are the sum (1) 1/3rd of Column 4, (2) reduction from FTES decline of -$791 (2009/10 MC SUG) times FTES decline, and (3) increase from FTES growth of $1,031 (2010/11 MC SUG) times FTES growth.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</si>
  <si>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Total Resident FTES in Budget Act of 2010 is 339,873.  A supplemental allocation will include applicable fee revenue upon confirmation of further attainable enrollment. For purposes of fee revenue and SUG calculations in this B 10-04 Coded Memorandum, the 2010/11 FTES baseline is 326,290 FTES. </t>
    </r>
  </si>
  <si>
    <t>B 10-04 2010/11 SUF Revenue Adjustment - before Financial Aid Adjustment</t>
  </si>
  <si>
    <t>B 10-04 Financial Aid Adjustment</t>
  </si>
  <si>
    <t>B 10-04 2010/11 SUF Revenue Adjustment - Net of Financial Aid</t>
  </si>
  <si>
    <t>ATTACHMENT G -  2010/11 Enrollment Projection Allocation Summary</t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</si>
  <si>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The nonresident FTES is equal to the 2008/09 actual FTES.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</si>
  <si>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2"/>
        <color indexed="8"/>
        <rFont val="Times New Roman"/>
        <family val="2"/>
      </rPr>
      <t xml:space="preserve"> </t>
    </r>
    <r>
      <rPr>
        <sz val="11"/>
        <color indexed="8"/>
        <rFont val="Times New Roman"/>
        <family val="1"/>
      </rPr>
      <t xml:space="preserve">Total resident FTES in Budget Act of 2010 is 339,873.  Funding for additional resident FTES up to the 339,873 will be included in a supplemental allocation upon confirmation of attainable increases in enrollment.  </t>
    </r>
  </si>
  <si>
    <t>General Fund Base Adjustments</t>
  </si>
  <si>
    <t>General Fund Allocation (w/Federal Funds)</t>
  </si>
  <si>
    <t>Expenditure Increases (w/$106M Fed. Funds)</t>
  </si>
  <si>
    <r>
      <t xml:space="preserve">Enrollment Growth from 310,317 to 326,290 FTES Baseline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</si>
  <si>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Includes operating fee revenue interest assessment adjustment (+$910,500) in Systemwide Provisions (SWP); transfer from C.O. Assist Program to SWPs ($87,000); transfers from SWP to C.O. for headquarters rent and insurance ($2,293,095), Council on Science and Technology dues ($77,625), Federal Relations ($25,000), and University Advancement ($222,356); transfer from SWPs to CSU Bakersfield ($74,917); transfer from SWPs to CSU Long Beach ($8,288); transfer from SWPs to Maritme Academy ($250,000); SWP lease revenue bonds increase ($4.6M-2009/10, $8.1M-2010/11), dental annuitants funding adjustment ($663,000), and 1994/95 deferred maintenance debt retirement ($1,878,000). </t>
    </r>
  </si>
  <si>
    <t>(Sum $s in Cols. 2-8)</t>
  </si>
  <si>
    <t>ATTACHMENT A - 2010/11 Budget Act Allocations, Gross Budget Summary</t>
  </si>
  <si>
    <t>2010/11 CSU Budget Act Totals</t>
  </si>
  <si>
    <t>ATTACHMENT B - 2010/11 Budget Act Base Adjustments</t>
  </si>
  <si>
    <t>2010/11 Budget Act, General Fund Base Adjustments</t>
  </si>
  <si>
    <t xml:space="preserve">ATTACHMENT C - 2010/11 Budget Act Expenditure Increases </t>
  </si>
  <si>
    <t>Total 2010/11 Budget Act Allocation Expenditure Increases</t>
  </si>
  <si>
    <t>ATTACHMENT E -- Budget Act SUF Revenue Adjustment (CONT.)</t>
  </si>
  <si>
    <t>ATTACHMENT E -- 2010/11 Budget Act, SUF Revenue Adjustment</t>
  </si>
  <si>
    <t xml:space="preserve">ATTACHMENT F - 2010/11 Budget Act, State University Grant (SUG) Adjustment </t>
  </si>
  <si>
    <r>
      <t xml:space="preserve">2010/11 Baseline Resident FTES Allocation </t>
    </r>
    <r>
      <rPr>
        <vertAlign val="superscript"/>
        <sz val="11"/>
        <color indexed="8"/>
        <rFont val="Times New Roman"/>
        <family val="1"/>
      </rPr>
      <t>1</t>
    </r>
  </si>
  <si>
    <r>
      <t xml:space="preserve">2010/11 Budget Act Resident FTES Target Allocation / Funding @$7,305 MC </t>
    </r>
    <r>
      <rPr>
        <vertAlign val="superscript"/>
        <sz val="11"/>
        <color indexed="8"/>
        <rFont val="Times New Roman"/>
        <family val="1"/>
      </rPr>
      <t>1</t>
    </r>
  </si>
  <si>
    <t>One-Time SWAT for 2009/10 Enrollment Exceeding Targets</t>
  </si>
  <si>
    <t>B 10-04 October Budget Allocations, SUG Increase</t>
  </si>
  <si>
    <t>(Cols. 2 + 4)</t>
  </si>
  <si>
    <t>(Attach. F / Cols. 3 + 4)</t>
  </si>
  <si>
    <t>(Attach. E / Col. 21)</t>
  </si>
  <si>
    <r>
      <t>B 10-02 August Budget Allocations SUG Increase</t>
    </r>
    <r>
      <rPr>
        <b/>
        <i/>
        <sz val="11"/>
        <color indexed="8"/>
        <rFont val="Times New Roman"/>
        <family val="1"/>
      </rPr>
      <t xml:space="preserve">                   </t>
    </r>
  </si>
  <si>
    <t xml:space="preserve">B 10-02 August 2010/11 Total SUG Funding Available / 100% Distributed Based on Need </t>
  </si>
  <si>
    <t>B 10-04 October 2010/11 Total SUG Funding Available</t>
  </si>
  <si>
    <r>
      <t>2010/11 SUG Adjustment based on 325,360 Resident FTES Baseline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with Revenue from 5% Fall and 5% Mid-Year 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Rate Changes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</si>
  <si>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Requires BOT approval.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</si>
</sst>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mmm\-yyyy"/>
    <numFmt numFmtId="168" formatCode="0.0000%"/>
    <numFmt numFmtId="169" formatCode="0.00000%"/>
    <numFmt numFmtId="170" formatCode="0.000%"/>
  </numFmts>
  <fonts count="132">
    <font>
      <sz val="1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i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1"/>
      <color indexed="8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1"/>
      <color indexed="10"/>
      <name val="Times New Roman"/>
      <family val="1"/>
    </font>
    <font>
      <sz val="7"/>
      <name val="Times New Roman"/>
      <family val="1"/>
    </font>
    <font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7"/>
      <name val="Times New Roman"/>
      <family val="1"/>
    </font>
    <font>
      <i/>
      <u val="single"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vertAlign val="superscript"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  <font>
      <sz val="10.5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 val="single"/>
      <sz val="8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horizontal="center" vertical="center" wrapText="1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37" fontId="0" fillId="0" borderId="10" xfId="0" applyNumberForma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/>
      <protection locked="0"/>
    </xf>
    <xf numFmtId="5" fontId="9" fillId="0" borderId="12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 vertical="top"/>
    </xf>
    <xf numFmtId="37" fontId="6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left" wrapText="1"/>
    </xf>
    <xf numFmtId="37" fontId="13" fillId="0" borderId="13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center" wrapText="1"/>
    </xf>
    <xf numFmtId="37" fontId="9" fillId="0" borderId="14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 wrapText="1"/>
    </xf>
    <xf numFmtId="37" fontId="9" fillId="0" borderId="13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 horizontal="center" wrapText="1"/>
    </xf>
    <xf numFmtId="37" fontId="0" fillId="0" borderId="10" xfId="0" applyNumberFormat="1" applyFont="1" applyFill="1" applyBorder="1" applyAlignment="1">
      <alignment horizontal="center" wrapText="1"/>
    </xf>
    <xf numFmtId="5" fontId="12" fillId="0" borderId="11" xfId="0" applyNumberFormat="1" applyFont="1" applyFill="1" applyBorder="1" applyAlignment="1">
      <alignment/>
    </xf>
    <xf numFmtId="5" fontId="12" fillId="0" borderId="12" xfId="0" applyNumberFormat="1" applyFont="1" applyFill="1" applyBorder="1" applyAlignment="1">
      <alignment/>
    </xf>
    <xf numFmtId="37" fontId="3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12" fillId="0" borderId="0" xfId="0" applyNumberFormat="1" applyFont="1" applyFill="1" applyAlignment="1">
      <alignment/>
    </xf>
    <xf numFmtId="5" fontId="12" fillId="0" borderId="11" xfId="0" applyNumberFormat="1" applyFont="1" applyFill="1" applyBorder="1" applyAlignment="1">
      <alignment/>
    </xf>
    <xf numFmtId="5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5" fontId="12" fillId="0" borderId="0" xfId="0" applyNumberFormat="1" applyFont="1" applyFill="1" applyAlignment="1">
      <alignment/>
    </xf>
    <xf numFmtId="5" fontId="12" fillId="0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5" fontId="12" fillId="0" borderId="15" xfId="0" applyNumberFormat="1" applyFont="1" applyFill="1" applyBorder="1" applyAlignment="1">
      <alignment/>
    </xf>
    <xf numFmtId="5" fontId="12" fillId="0" borderId="0" xfId="0" applyNumberFormat="1" applyFont="1" applyFill="1" applyAlignment="1">
      <alignment/>
    </xf>
    <xf numFmtId="5" fontId="12" fillId="0" borderId="13" xfId="0" applyNumberFormat="1" applyFont="1" applyFill="1" applyBorder="1" applyAlignment="1">
      <alignment/>
    </xf>
    <xf numFmtId="37" fontId="12" fillId="0" borderId="13" xfId="0" applyNumberFormat="1" applyFont="1" applyFill="1" applyBorder="1" applyAlignment="1">
      <alignment/>
    </xf>
    <xf numFmtId="5" fontId="12" fillId="0" borderId="16" xfId="0" applyNumberFormat="1" applyFont="1" applyFill="1" applyBorder="1" applyAlignment="1">
      <alignment/>
    </xf>
    <xf numFmtId="5" fontId="12" fillId="0" borderId="17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 quotePrefix="1">
      <alignment horizontal="center" vertical="center" wrapText="1"/>
    </xf>
    <xf numFmtId="37" fontId="15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 horizontal="center"/>
    </xf>
    <xf numFmtId="37" fontId="102" fillId="0" borderId="0" xfId="0" applyNumberFormat="1" applyFont="1" applyFill="1" applyBorder="1" applyAlignment="1">
      <alignment horizontal="center" wrapText="1"/>
    </xf>
    <xf numFmtId="5" fontId="12" fillId="0" borderId="13" xfId="0" applyNumberFormat="1" applyFont="1" applyFill="1" applyBorder="1" applyAlignment="1">
      <alignment horizontal="right" indent="1"/>
    </xf>
    <xf numFmtId="37" fontId="12" fillId="0" borderId="13" xfId="0" applyNumberFormat="1" applyFont="1" applyFill="1" applyBorder="1" applyAlignment="1">
      <alignment horizontal="right" indent="1"/>
    </xf>
    <xf numFmtId="5" fontId="12" fillId="0" borderId="16" xfId="0" applyNumberFormat="1" applyFont="1" applyFill="1" applyBorder="1" applyAlignment="1">
      <alignment horizontal="right" indent="1"/>
    </xf>
    <xf numFmtId="37" fontId="103" fillId="0" borderId="0" xfId="0" applyNumberFormat="1" applyFont="1" applyFill="1" applyAlignment="1">
      <alignment/>
    </xf>
    <xf numFmtId="37" fontId="0" fillId="0" borderId="0" xfId="67" applyNumberFormat="1" applyFont="1">
      <alignment/>
      <protection/>
    </xf>
    <xf numFmtId="5" fontId="0" fillId="0" borderId="0" xfId="67" applyNumberFormat="1" applyFont="1">
      <alignment/>
      <protection/>
    </xf>
    <xf numFmtId="37" fontId="12" fillId="0" borderId="0" xfId="67" applyNumberFormat="1" applyFont="1" applyFill="1" applyAlignment="1">
      <alignment vertical="top"/>
      <protection/>
    </xf>
    <xf numFmtId="37" fontId="104" fillId="0" borderId="0" xfId="0" applyNumberFormat="1" applyFont="1" applyFill="1" applyBorder="1" applyAlignment="1">
      <alignment horizontal="center" wrapText="1"/>
    </xf>
    <xf numFmtId="37" fontId="6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5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64" fontId="0" fillId="0" borderId="0" xfId="81" applyNumberFormat="1" applyFont="1" applyFill="1" applyAlignment="1">
      <alignment/>
    </xf>
    <xf numFmtId="0" fontId="14" fillId="0" borderId="0" xfId="71" applyFont="1">
      <alignment/>
      <protection/>
    </xf>
    <xf numFmtId="0" fontId="6" fillId="0" borderId="0" xfId="71" applyFont="1">
      <alignment/>
      <protection/>
    </xf>
    <xf numFmtId="0" fontId="6" fillId="0" borderId="0" xfId="71" applyFont="1" applyBorder="1">
      <alignment/>
      <protection/>
    </xf>
    <xf numFmtId="0" fontId="22" fillId="0" borderId="0" xfId="71" applyFont="1">
      <alignment/>
      <protection/>
    </xf>
    <xf numFmtId="37" fontId="5" fillId="0" borderId="0" xfId="71" applyNumberFormat="1" applyFont="1" applyFill="1" applyBorder="1" applyAlignment="1">
      <alignment horizontal="center" vertical="center"/>
      <protection/>
    </xf>
    <xf numFmtId="37" fontId="105" fillId="0" borderId="0" xfId="71" applyNumberFormat="1" applyFont="1" applyFill="1" applyBorder="1" applyAlignment="1">
      <alignment horizontal="center" vertical="center"/>
      <protection/>
    </xf>
    <xf numFmtId="37" fontId="5" fillId="0" borderId="0" xfId="71" applyNumberFormat="1" applyFont="1" applyFill="1" applyBorder="1" applyAlignment="1">
      <alignment horizontal="center" wrapText="1"/>
      <protection/>
    </xf>
    <xf numFmtId="0" fontId="5" fillId="0" borderId="0" xfId="71" applyFont="1" applyBorder="1" applyAlignment="1">
      <alignment horizontal="center" wrapText="1"/>
      <protection/>
    </xf>
    <xf numFmtId="37" fontId="22" fillId="0" borderId="0" xfId="71" applyNumberFormat="1" applyFont="1" applyFill="1" applyBorder="1" applyAlignment="1">
      <alignment horizontal="center" vertical="center" wrapText="1"/>
      <protection/>
    </xf>
    <xf numFmtId="5" fontId="6" fillId="0" borderId="0" xfId="71" applyNumberFormat="1" applyFont="1" applyFill="1" applyBorder="1">
      <alignment/>
      <protection/>
    </xf>
    <xf numFmtId="37" fontId="6" fillId="0" borderId="0" xfId="71" applyNumberFormat="1" applyFont="1" applyFill="1" applyBorder="1">
      <alignment/>
      <protection/>
    </xf>
    <xf numFmtId="166" fontId="6" fillId="0" borderId="0" xfId="47" applyNumberFormat="1" applyFont="1" applyBorder="1" applyAlignment="1">
      <alignment/>
    </xf>
    <xf numFmtId="166" fontId="6" fillId="0" borderId="18" xfId="47" applyNumberFormat="1" applyFont="1" applyBorder="1" applyAlignment="1">
      <alignment/>
    </xf>
    <xf numFmtId="5" fontId="5" fillId="0" borderId="0" xfId="71" applyNumberFormat="1" applyFont="1" applyFill="1" applyBorder="1">
      <alignment/>
      <protection/>
    </xf>
    <xf numFmtId="0" fontId="5" fillId="0" borderId="0" xfId="71" applyFont="1" applyBorder="1">
      <alignment/>
      <protection/>
    </xf>
    <xf numFmtId="37" fontId="106" fillId="0" borderId="0" xfId="0" applyNumberFormat="1" applyFont="1" applyFill="1" applyAlignment="1">
      <alignment/>
    </xf>
    <xf numFmtId="37" fontId="107" fillId="0" borderId="0" xfId="0" applyNumberFormat="1" applyFont="1" applyFill="1" applyBorder="1" applyAlignment="1">
      <alignment wrapText="1"/>
    </xf>
    <xf numFmtId="37" fontId="108" fillId="0" borderId="14" xfId="0" applyNumberFormat="1" applyFont="1" applyFill="1" applyBorder="1" applyAlignment="1">
      <alignment horizontal="center" wrapText="1"/>
    </xf>
    <xf numFmtId="5" fontId="12" fillId="0" borderId="17" xfId="0" applyNumberFormat="1" applyFont="1" applyFill="1" applyBorder="1" applyAlignment="1">
      <alignment horizontal="right" indent="1"/>
    </xf>
    <xf numFmtId="37" fontId="109" fillId="0" borderId="0" xfId="0" applyNumberFormat="1" applyFont="1" applyFill="1" applyBorder="1" applyAlignment="1">
      <alignment/>
    </xf>
    <xf numFmtId="37" fontId="18" fillId="0" borderId="0" xfId="0" applyNumberFormat="1" applyFont="1" applyFill="1" applyAlignment="1" quotePrefix="1">
      <alignment horizontal="right"/>
    </xf>
    <xf numFmtId="37" fontId="11" fillId="33" borderId="0" xfId="0" applyNumberFormat="1" applyFont="1" applyFill="1" applyAlignment="1">
      <alignment horizontal="center"/>
    </xf>
    <xf numFmtId="37" fontId="11" fillId="33" borderId="0" xfId="0" applyNumberFormat="1" applyFont="1" applyFill="1" applyBorder="1" applyAlignment="1">
      <alignment horizontal="center"/>
    </xf>
    <xf numFmtId="37" fontId="6" fillId="33" borderId="0" xfId="0" applyNumberFormat="1" applyFont="1" applyFill="1" applyAlignment="1">
      <alignment horizontal="center"/>
    </xf>
    <xf numFmtId="37" fontId="0" fillId="33" borderId="0" xfId="0" applyNumberFormat="1" applyFont="1" applyFill="1" applyBorder="1" applyAlignment="1">
      <alignment horizontal="center" wrapText="1"/>
    </xf>
    <xf numFmtId="37" fontId="13" fillId="33" borderId="0" xfId="0" applyNumberFormat="1" applyFont="1" applyFill="1" applyBorder="1" applyAlignment="1">
      <alignment horizontal="center" wrapText="1"/>
    </xf>
    <xf numFmtId="5" fontId="12" fillId="33" borderId="0" xfId="0" applyNumberFormat="1" applyFont="1" applyFill="1" applyBorder="1" applyAlignment="1">
      <alignment/>
    </xf>
    <xf numFmtId="37" fontId="12" fillId="33" borderId="0" xfId="0" applyNumberFormat="1" applyFont="1" applyFill="1" applyBorder="1" applyAlignment="1">
      <alignment/>
    </xf>
    <xf numFmtId="5" fontId="12" fillId="33" borderId="11" xfId="0" applyNumberFormat="1" applyFont="1" applyFill="1" applyBorder="1" applyAlignment="1">
      <alignment/>
    </xf>
    <xf numFmtId="5" fontId="12" fillId="33" borderId="12" xfId="0" applyNumberFormat="1" applyFont="1" applyFill="1" applyBorder="1" applyAlignment="1">
      <alignment/>
    </xf>
    <xf numFmtId="0" fontId="110" fillId="0" borderId="0" xfId="71" applyFont="1">
      <alignment/>
      <protection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37" fontId="111" fillId="0" borderId="0" xfId="0" applyNumberFormat="1" applyFont="1" applyFill="1" applyAlignment="1">
      <alignment/>
    </xf>
    <xf numFmtId="37" fontId="109" fillId="0" borderId="0" xfId="0" applyNumberFormat="1" applyFont="1" applyFill="1" applyAlignment="1">
      <alignment horizontal="left" vertical="top" wrapText="1"/>
    </xf>
    <xf numFmtId="37" fontId="0" fillId="0" borderId="10" xfId="0" applyNumberFormat="1" applyFont="1" applyFill="1" applyBorder="1" applyAlignment="1">
      <alignment vertical="center"/>
    </xf>
    <xf numFmtId="37" fontId="102" fillId="0" borderId="0" xfId="0" applyNumberFormat="1" applyFont="1" applyFill="1" applyAlignment="1">
      <alignment/>
    </xf>
    <xf numFmtId="167" fontId="5" fillId="0" borderId="0" xfId="71" applyNumberFormat="1" applyFont="1" applyBorder="1" applyAlignment="1">
      <alignment horizontal="right" wrapText="1"/>
      <protection/>
    </xf>
    <xf numFmtId="37" fontId="5" fillId="0" borderId="0" xfId="68" applyNumberFormat="1" applyFont="1" applyFill="1" applyBorder="1" applyAlignment="1">
      <alignment horizontal="center" vertical="center"/>
      <protection/>
    </xf>
    <xf numFmtId="37" fontId="0" fillId="0" borderId="10" xfId="0" applyNumberFormat="1" applyFont="1" applyFill="1" applyBorder="1" applyAlignment="1">
      <alignment horizontal="center" wrapText="1"/>
    </xf>
    <xf numFmtId="165" fontId="109" fillId="34" borderId="19" xfId="74" applyNumberFormat="1" applyFont="1" applyFill="1" applyBorder="1">
      <alignment/>
      <protection/>
    </xf>
    <xf numFmtId="37" fontId="109" fillId="34" borderId="19" xfId="74" applyNumberFormat="1" applyFont="1" applyFill="1" applyBorder="1">
      <alignment/>
      <protection/>
    </xf>
    <xf numFmtId="0" fontId="106" fillId="0" borderId="0" xfId="68" applyFont="1" applyFill="1" applyBorder="1" applyAlignment="1">
      <alignment/>
      <protection/>
    </xf>
    <xf numFmtId="0" fontId="102" fillId="0" borderId="0" xfId="68" applyFont="1" applyFill="1" applyBorder="1">
      <alignment/>
      <protection/>
    </xf>
    <xf numFmtId="0" fontId="102" fillId="0" borderId="0" xfId="68" applyFont="1" applyFill="1" applyBorder="1" applyAlignment="1">
      <alignment horizontal="center"/>
      <protection/>
    </xf>
    <xf numFmtId="37" fontId="112" fillId="0" borderId="0" xfId="68" applyNumberFormat="1" applyFont="1" applyFill="1" applyBorder="1" applyAlignment="1">
      <alignment horizontal="center"/>
      <protection/>
    </xf>
    <xf numFmtId="0" fontId="102" fillId="0" borderId="20" xfId="68" applyFont="1" applyFill="1" applyBorder="1">
      <alignment/>
      <protection/>
    </xf>
    <xf numFmtId="0" fontId="102" fillId="0" borderId="21" xfId="68" applyFont="1" applyFill="1" applyBorder="1">
      <alignment/>
      <protection/>
    </xf>
    <xf numFmtId="0" fontId="102" fillId="0" borderId="21" xfId="68" applyFont="1" applyFill="1" applyBorder="1" applyAlignment="1" quotePrefix="1">
      <alignment horizontal="centerContinuous"/>
      <protection/>
    </xf>
    <xf numFmtId="0" fontId="102" fillId="0" borderId="22" xfId="68" applyFont="1" applyFill="1" applyBorder="1" applyAlignment="1">
      <alignment horizontal="center" wrapText="1"/>
      <protection/>
    </xf>
    <xf numFmtId="0" fontId="109" fillId="0" borderId="10" xfId="68" applyFont="1" applyFill="1" applyBorder="1" applyAlignment="1">
      <alignment/>
      <protection/>
    </xf>
    <xf numFmtId="0" fontId="109" fillId="0" borderId="10" xfId="68" applyFont="1" applyFill="1" applyBorder="1" applyAlignment="1" quotePrefix="1">
      <alignment horizontal="centerContinuous" wrapText="1"/>
      <protection/>
    </xf>
    <xf numFmtId="0" fontId="109" fillId="0" borderId="23" xfId="68" applyFont="1" applyFill="1" applyBorder="1" applyAlignment="1" quotePrefix="1">
      <alignment horizontal="centerContinuous" wrapText="1"/>
      <protection/>
    </xf>
    <xf numFmtId="0" fontId="102" fillId="0" borderId="0" xfId="68" applyFont="1" applyFill="1" applyBorder="1" applyAlignment="1">
      <alignment/>
      <protection/>
    </xf>
    <xf numFmtId="0" fontId="109" fillId="0" borderId="0" xfId="68" applyFont="1" applyFill="1" applyBorder="1" applyAlignment="1">
      <alignment/>
      <protection/>
    </xf>
    <xf numFmtId="0" fontId="102" fillId="0" borderId="19" xfId="68" applyFont="1" applyFill="1" applyBorder="1" applyAlignment="1">
      <alignment horizontal="center"/>
      <protection/>
    </xf>
    <xf numFmtId="0" fontId="109" fillId="0" borderId="0" xfId="68" applyFont="1" applyFill="1" applyBorder="1">
      <alignment/>
      <protection/>
    </xf>
    <xf numFmtId="0" fontId="109" fillId="0" borderId="0" xfId="68" applyFont="1" applyFill="1" applyBorder="1" applyAlignment="1">
      <alignment horizontal="center"/>
      <protection/>
    </xf>
    <xf numFmtId="0" fontId="109" fillId="0" borderId="19" xfId="68" applyFont="1" applyFill="1" applyBorder="1" applyAlignment="1">
      <alignment horizontal="center"/>
      <protection/>
    </xf>
    <xf numFmtId="0" fontId="109" fillId="0" borderId="24" xfId="68" applyFont="1" applyFill="1" applyBorder="1" applyAlignment="1">
      <alignment horizontal="center"/>
      <protection/>
    </xf>
    <xf numFmtId="0" fontId="113" fillId="0" borderId="0" xfId="68" applyFont="1" applyFill="1" applyBorder="1" applyAlignment="1">
      <alignment horizontal="center"/>
      <protection/>
    </xf>
    <xf numFmtId="0" fontId="102" fillId="0" borderId="24" xfId="68" applyFont="1" applyFill="1" applyBorder="1">
      <alignment/>
      <protection/>
    </xf>
    <xf numFmtId="0" fontId="109" fillId="0" borderId="19" xfId="68" applyFont="1" applyFill="1" applyBorder="1">
      <alignment/>
      <protection/>
    </xf>
    <xf numFmtId="0" fontId="109" fillId="0" borderId="19" xfId="68" applyFont="1" applyFill="1" applyBorder="1" applyAlignment="1" quotePrefix="1">
      <alignment horizontal="center"/>
      <protection/>
    </xf>
    <xf numFmtId="165" fontId="109" fillId="0" borderId="19" xfId="68" applyNumberFormat="1" applyFont="1" applyFill="1" applyBorder="1">
      <alignment/>
      <protection/>
    </xf>
    <xf numFmtId="168" fontId="109" fillId="0" borderId="0" xfId="68" applyNumberFormat="1" applyFont="1" applyFill="1" applyBorder="1" applyAlignment="1">
      <alignment horizontal="center"/>
      <protection/>
    </xf>
    <xf numFmtId="168" fontId="109" fillId="0" borderId="24" xfId="68" applyNumberFormat="1" applyFont="1" applyFill="1" applyBorder="1" applyAlignment="1">
      <alignment horizontal="center"/>
      <protection/>
    </xf>
    <xf numFmtId="169" fontId="109" fillId="0" borderId="24" xfId="68" applyNumberFormat="1" applyFont="1" applyFill="1" applyBorder="1" applyAlignment="1">
      <alignment horizontal="center"/>
      <protection/>
    </xf>
    <xf numFmtId="5" fontId="109" fillId="0" borderId="19" xfId="68" applyNumberFormat="1" applyFont="1" applyFill="1" applyBorder="1">
      <alignment/>
      <protection/>
    </xf>
    <xf numFmtId="169" fontId="109" fillId="0" borderId="0" xfId="68" applyNumberFormat="1" applyFont="1" applyFill="1" applyBorder="1" applyAlignment="1">
      <alignment horizontal="center"/>
      <protection/>
    </xf>
    <xf numFmtId="169" fontId="109" fillId="0" borderId="19" xfId="68" applyNumberFormat="1" applyFont="1" applyFill="1" applyBorder="1" applyAlignment="1">
      <alignment horizontal="center"/>
      <protection/>
    </xf>
    <xf numFmtId="5" fontId="112" fillId="0" borderId="0" xfId="68" applyNumberFormat="1" applyFont="1" applyFill="1" applyBorder="1">
      <alignment/>
      <protection/>
    </xf>
    <xf numFmtId="37" fontId="109" fillId="0" borderId="0" xfId="68" applyNumberFormat="1" applyFont="1" applyFill="1" applyBorder="1">
      <alignment/>
      <protection/>
    </xf>
    <xf numFmtId="5" fontId="109" fillId="0" borderId="0" xfId="68" applyNumberFormat="1" applyFont="1" applyFill="1" applyBorder="1">
      <alignment/>
      <protection/>
    </xf>
    <xf numFmtId="37" fontId="109" fillId="0" borderId="19" xfId="68" applyNumberFormat="1" applyFont="1" applyFill="1" applyBorder="1">
      <alignment/>
      <protection/>
    </xf>
    <xf numFmtId="37" fontId="112" fillId="0" borderId="0" xfId="68" applyNumberFormat="1" applyFont="1" applyFill="1" applyBorder="1">
      <alignment/>
      <protection/>
    </xf>
    <xf numFmtId="165" fontId="109" fillId="34" borderId="19" xfId="68" applyNumberFormat="1" applyFont="1" applyFill="1" applyBorder="1">
      <alignment/>
      <protection/>
    </xf>
    <xf numFmtId="3" fontId="109" fillId="0" borderId="0" xfId="68" applyNumberFormat="1" applyFont="1" applyFill="1" applyBorder="1">
      <alignment/>
      <protection/>
    </xf>
    <xf numFmtId="170" fontId="109" fillId="0" borderId="0" xfId="68" applyNumberFormat="1" applyFont="1" applyFill="1" applyBorder="1">
      <alignment/>
      <protection/>
    </xf>
    <xf numFmtId="3" fontId="109" fillId="0" borderId="24" xfId="68" applyNumberFormat="1" applyFont="1" applyFill="1" applyBorder="1" applyAlignment="1">
      <alignment horizontal="center"/>
      <protection/>
    </xf>
    <xf numFmtId="3" fontId="109" fillId="0" borderId="19" xfId="68" applyNumberFormat="1" applyFont="1" applyFill="1" applyBorder="1">
      <alignment/>
      <protection/>
    </xf>
    <xf numFmtId="3" fontId="109" fillId="0" borderId="0" xfId="68" applyNumberFormat="1" applyFont="1" applyFill="1" applyBorder="1" applyAlignment="1">
      <alignment horizontal="center"/>
      <protection/>
    </xf>
    <xf numFmtId="3" fontId="109" fillId="0" borderId="19" xfId="68" applyNumberFormat="1" applyFont="1" applyFill="1" applyBorder="1" applyAlignment="1">
      <alignment horizontal="center"/>
      <protection/>
    </xf>
    <xf numFmtId="0" fontId="109" fillId="0" borderId="25" xfId="68" applyFont="1" applyFill="1" applyBorder="1" applyAlignment="1">
      <alignment horizontal="center"/>
      <protection/>
    </xf>
    <xf numFmtId="0" fontId="109" fillId="0" borderId="18" xfId="68" applyFont="1" applyFill="1" applyBorder="1">
      <alignment/>
      <protection/>
    </xf>
    <xf numFmtId="10" fontId="109" fillId="0" borderId="18" xfId="68" applyNumberFormat="1" applyFont="1" applyFill="1" applyBorder="1" applyAlignment="1">
      <alignment horizontal="center"/>
      <protection/>
    </xf>
    <xf numFmtId="165" fontId="109" fillId="0" borderId="25" xfId="68" applyNumberFormat="1" applyFont="1" applyFill="1" applyBorder="1">
      <alignment/>
      <protection/>
    </xf>
    <xf numFmtId="10" fontId="109" fillId="0" borderId="26" xfId="68" applyNumberFormat="1" applyFont="1" applyFill="1" applyBorder="1" applyAlignment="1">
      <alignment horizontal="center"/>
      <protection/>
    </xf>
    <xf numFmtId="10" fontId="109" fillId="0" borderId="25" xfId="68" applyNumberFormat="1" applyFont="1" applyFill="1" applyBorder="1" applyAlignment="1">
      <alignment horizontal="center"/>
      <protection/>
    </xf>
    <xf numFmtId="5" fontId="112" fillId="0" borderId="18" xfId="55" applyNumberFormat="1" applyFont="1" applyFill="1" applyBorder="1" applyAlignment="1">
      <alignment/>
    </xf>
    <xf numFmtId="0" fontId="102" fillId="0" borderId="26" xfId="68" applyFont="1" applyFill="1" applyBorder="1">
      <alignment/>
      <protection/>
    </xf>
    <xf numFmtId="5" fontId="109" fillId="0" borderId="0" xfId="55" applyNumberFormat="1" applyFont="1" applyFill="1" applyBorder="1" applyAlignment="1">
      <alignment/>
    </xf>
    <xf numFmtId="5" fontId="102" fillId="0" borderId="0" xfId="68" applyNumberFormat="1" applyFont="1" applyFill="1" applyBorder="1">
      <alignment/>
      <protection/>
    </xf>
    <xf numFmtId="3" fontId="102" fillId="0" borderId="0" xfId="68" applyNumberFormat="1" applyFont="1" applyFill="1" applyBorder="1">
      <alignment/>
      <protection/>
    </xf>
    <xf numFmtId="3" fontId="102" fillId="0" borderId="0" xfId="68" applyNumberFormat="1" applyFont="1" applyFill="1" applyBorder="1" applyAlignment="1">
      <alignment horizontal="center"/>
      <protection/>
    </xf>
    <xf numFmtId="0" fontId="114" fillId="0" borderId="0" xfId="68" applyFont="1" applyFill="1" applyBorder="1" applyAlignment="1">
      <alignment vertical="top"/>
      <protection/>
    </xf>
    <xf numFmtId="165" fontId="102" fillId="0" borderId="0" xfId="68" applyNumberFormat="1" applyFont="1" applyFill="1" applyBorder="1">
      <alignment/>
      <protection/>
    </xf>
    <xf numFmtId="0" fontId="109" fillId="0" borderId="27" xfId="68" applyFont="1" applyFill="1" applyBorder="1" applyAlignment="1">
      <alignment horizontal="center"/>
      <protection/>
    </xf>
    <xf numFmtId="37" fontId="3" fillId="0" borderId="21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 wrapText="1"/>
    </xf>
    <xf numFmtId="0" fontId="109" fillId="0" borderId="0" xfId="68" applyFont="1" applyFill="1" applyBorder="1" applyAlignment="1">
      <alignment horizontal="center" wrapText="1"/>
      <protection/>
    </xf>
    <xf numFmtId="0" fontId="109" fillId="0" borderId="0" xfId="73" applyFont="1">
      <alignment/>
      <protection/>
    </xf>
    <xf numFmtId="0" fontId="109" fillId="0" borderId="0" xfId="73" applyFont="1" applyAlignment="1">
      <alignment vertical="center"/>
      <protection/>
    </xf>
    <xf numFmtId="5" fontId="109" fillId="0" borderId="0" xfId="73" applyNumberFormat="1" applyFont="1" applyAlignment="1">
      <alignment vertical="center"/>
      <protection/>
    </xf>
    <xf numFmtId="7" fontId="109" fillId="0" borderId="0" xfId="73" applyNumberFormat="1" applyFont="1" applyAlignment="1">
      <alignment vertical="center"/>
      <protection/>
    </xf>
    <xf numFmtId="0" fontId="21" fillId="0" borderId="0" xfId="73" applyFont="1">
      <alignment/>
      <protection/>
    </xf>
    <xf numFmtId="5" fontId="11" fillId="0" borderId="12" xfId="73" applyNumberFormat="1" applyFont="1" applyBorder="1">
      <alignment/>
      <protection/>
    </xf>
    <xf numFmtId="5" fontId="11" fillId="0" borderId="28" xfId="73" applyNumberFormat="1" applyFont="1" applyBorder="1">
      <alignment/>
      <protection/>
    </xf>
    <xf numFmtId="37" fontId="12" fillId="0" borderId="0" xfId="73" applyNumberFormat="1" applyFont="1" applyBorder="1">
      <alignment/>
      <protection/>
    </xf>
    <xf numFmtId="37" fontId="12" fillId="0" borderId="29" xfId="73" applyNumberFormat="1" applyFont="1" applyFill="1" applyBorder="1">
      <alignment/>
      <protection/>
    </xf>
    <xf numFmtId="37" fontId="12" fillId="0" borderId="30" xfId="73" applyNumberFormat="1" applyFont="1" applyBorder="1">
      <alignment/>
      <protection/>
    </xf>
    <xf numFmtId="5" fontId="12" fillId="0" borderId="30" xfId="73" applyNumberFormat="1" applyFont="1" applyBorder="1">
      <alignment/>
      <protection/>
    </xf>
    <xf numFmtId="5" fontId="12" fillId="0" borderId="0" xfId="73" applyNumberFormat="1" applyFont="1" applyBorder="1">
      <alignment/>
      <protection/>
    </xf>
    <xf numFmtId="5" fontId="11" fillId="0" borderId="30" xfId="73" applyNumberFormat="1" applyFont="1" applyBorder="1">
      <alignment/>
      <protection/>
    </xf>
    <xf numFmtId="5" fontId="12" fillId="0" borderId="11" xfId="73" applyNumberFormat="1" applyFont="1" applyBorder="1">
      <alignment/>
      <protection/>
    </xf>
    <xf numFmtId="5" fontId="11" fillId="0" borderId="31" xfId="73" applyNumberFormat="1" applyFont="1" applyBorder="1">
      <alignment/>
      <protection/>
    </xf>
    <xf numFmtId="0" fontId="109" fillId="0" borderId="0" xfId="73" applyFont="1" applyAlignment="1">
      <alignment horizontal="center" wrapText="1"/>
      <protection/>
    </xf>
    <xf numFmtId="0" fontId="112" fillId="0" borderId="0" xfId="73" applyFont="1" applyBorder="1">
      <alignment/>
      <protection/>
    </xf>
    <xf numFmtId="0" fontId="109" fillId="0" borderId="0" xfId="68" applyFont="1" applyFill="1" applyBorder="1" applyAlignment="1">
      <alignment wrapText="1"/>
      <protection/>
    </xf>
    <xf numFmtId="0" fontId="106" fillId="0" borderId="0" xfId="73" applyFont="1" applyFill="1" applyBorder="1">
      <alignment/>
      <protection/>
    </xf>
    <xf numFmtId="0" fontId="109" fillId="0" borderId="0" xfId="73" applyFont="1" applyFill="1">
      <alignment/>
      <protection/>
    </xf>
    <xf numFmtId="5" fontId="12" fillId="0" borderId="0" xfId="73" applyNumberFormat="1" applyFont="1" applyFill="1" applyBorder="1">
      <alignment/>
      <protection/>
    </xf>
    <xf numFmtId="37" fontId="12" fillId="0" borderId="0" xfId="73" applyNumberFormat="1" applyFont="1" applyFill="1" applyBorder="1">
      <alignment/>
      <protection/>
    </xf>
    <xf numFmtId="37" fontId="12" fillId="0" borderId="32" xfId="73" applyNumberFormat="1" applyFont="1" applyFill="1" applyBorder="1">
      <alignment/>
      <protection/>
    </xf>
    <xf numFmtId="5" fontId="12" fillId="0" borderId="11" xfId="73" applyNumberFormat="1" applyFont="1" applyFill="1" applyBorder="1">
      <alignment/>
      <protection/>
    </xf>
    <xf numFmtId="5" fontId="12" fillId="0" borderId="33" xfId="73" applyNumberFormat="1" applyFont="1" applyFill="1" applyBorder="1">
      <alignment/>
      <protection/>
    </xf>
    <xf numFmtId="5" fontId="12" fillId="0" borderId="34" xfId="73" applyNumberFormat="1" applyFont="1" applyFill="1" applyBorder="1">
      <alignment/>
      <protection/>
    </xf>
    <xf numFmtId="5" fontId="12" fillId="0" borderId="32" xfId="73" applyNumberFormat="1" applyFont="1" applyFill="1" applyBorder="1">
      <alignment/>
      <protection/>
    </xf>
    <xf numFmtId="5" fontId="12" fillId="0" borderId="29" xfId="73" applyNumberFormat="1" applyFont="1" applyFill="1" applyBorder="1">
      <alignment/>
      <protection/>
    </xf>
    <xf numFmtId="5" fontId="11" fillId="0" borderId="12" xfId="73" applyNumberFormat="1" applyFont="1" applyFill="1" applyBorder="1">
      <alignment/>
      <protection/>
    </xf>
    <xf numFmtId="5" fontId="11" fillId="0" borderId="35" xfId="73" applyNumberFormat="1" applyFont="1" applyFill="1" applyBorder="1">
      <alignment/>
      <protection/>
    </xf>
    <xf numFmtId="5" fontId="11" fillId="0" borderId="36" xfId="73" applyNumberFormat="1" applyFont="1" applyFill="1" applyBorder="1">
      <alignment/>
      <protection/>
    </xf>
    <xf numFmtId="5" fontId="11" fillId="0" borderId="10" xfId="73" applyNumberFormat="1" applyFont="1" applyFill="1" applyBorder="1">
      <alignment/>
      <protection/>
    </xf>
    <xf numFmtId="7" fontId="109" fillId="0" borderId="0" xfId="73" applyNumberFormat="1" applyFont="1" applyFill="1">
      <alignment/>
      <protection/>
    </xf>
    <xf numFmtId="0" fontId="109" fillId="0" borderId="0" xfId="73" applyFont="1" applyFill="1" applyAlignment="1">
      <alignment vertical="center"/>
      <protection/>
    </xf>
    <xf numFmtId="7" fontId="109" fillId="0" borderId="0" xfId="73" applyNumberFormat="1" applyFont="1" applyFill="1" applyAlignment="1">
      <alignment vertical="center"/>
      <protection/>
    </xf>
    <xf numFmtId="5" fontId="109" fillId="0" borderId="0" xfId="73" applyNumberFormat="1" applyFont="1" applyFill="1" applyAlignment="1">
      <alignment vertical="center"/>
      <protection/>
    </xf>
    <xf numFmtId="37" fontId="5" fillId="0" borderId="14" xfId="71" applyNumberFormat="1" applyFont="1" applyFill="1" applyBorder="1" applyAlignment="1">
      <alignment horizontal="center" wrapText="1"/>
      <protection/>
    </xf>
    <xf numFmtId="0" fontId="6" fillId="0" borderId="13" xfId="71" applyFont="1" applyBorder="1">
      <alignment/>
      <protection/>
    </xf>
    <xf numFmtId="5" fontId="6" fillId="0" borderId="13" xfId="67" applyNumberFormat="1" applyFont="1" applyFill="1" applyBorder="1">
      <alignment/>
      <protection/>
    </xf>
    <xf numFmtId="166" fontId="6" fillId="0" borderId="13" xfId="49" applyNumberFormat="1" applyFont="1" applyBorder="1" applyAlignment="1">
      <alignment/>
    </xf>
    <xf numFmtId="166" fontId="6" fillId="0" borderId="37" xfId="49" applyNumberFormat="1" applyFont="1" applyBorder="1" applyAlignment="1">
      <alignment/>
    </xf>
    <xf numFmtId="5" fontId="5" fillId="0" borderId="37" xfId="71" applyNumberFormat="1" applyFont="1" applyFill="1" applyBorder="1">
      <alignment/>
      <protection/>
    </xf>
    <xf numFmtId="37" fontId="115" fillId="0" borderId="0" xfId="0" applyNumberFormat="1" applyFont="1" applyFill="1" applyBorder="1" applyAlignment="1">
      <alignment/>
    </xf>
    <xf numFmtId="165" fontId="109" fillId="0" borderId="19" xfId="73" applyNumberFormat="1" applyFont="1" applyBorder="1">
      <alignment/>
      <protection/>
    </xf>
    <xf numFmtId="37" fontId="109" fillId="0" borderId="19" xfId="73" applyNumberFormat="1" applyFont="1" applyBorder="1">
      <alignment/>
      <protection/>
    </xf>
    <xf numFmtId="37" fontId="109" fillId="34" borderId="19" xfId="73" applyNumberFormat="1" applyFont="1" applyFill="1" applyBorder="1">
      <alignment/>
      <protection/>
    </xf>
    <xf numFmtId="37" fontId="5" fillId="0" borderId="0" xfId="77" applyNumberFormat="1" applyFont="1" applyFill="1">
      <alignment/>
      <protection/>
    </xf>
    <xf numFmtId="37" fontId="0" fillId="0" borderId="0" xfId="77" applyNumberFormat="1" applyFont="1" applyFill="1">
      <alignment/>
      <protection/>
    </xf>
    <xf numFmtId="37" fontId="3" fillId="0" borderId="0" xfId="77" applyNumberFormat="1" applyFont="1" applyFill="1">
      <alignment/>
      <protection/>
    </xf>
    <xf numFmtId="37" fontId="0" fillId="0" borderId="0" xfId="77" applyNumberFormat="1" applyFill="1">
      <alignment/>
      <protection/>
    </xf>
    <xf numFmtId="37" fontId="5" fillId="0" borderId="0" xfId="77" applyNumberFormat="1" applyFont="1" applyFill="1" applyBorder="1">
      <alignment/>
      <protection/>
    </xf>
    <xf numFmtId="37" fontId="0" fillId="0" borderId="0" xfId="77" applyNumberFormat="1" applyFont="1" applyFill="1" applyBorder="1">
      <alignment/>
      <protection/>
    </xf>
    <xf numFmtId="37" fontId="3" fillId="0" borderId="0" xfId="77" applyNumberFormat="1" applyFont="1" applyFill="1" applyBorder="1">
      <alignment/>
      <protection/>
    </xf>
    <xf numFmtId="37" fontId="12" fillId="0" borderId="0" xfId="77" applyNumberFormat="1" applyFont="1" applyFill="1" applyBorder="1">
      <alignment/>
      <protection/>
    </xf>
    <xf numFmtId="37" fontId="11" fillId="0" borderId="0" xfId="77" applyNumberFormat="1" applyFont="1" applyFill="1" applyBorder="1">
      <alignment/>
      <protection/>
    </xf>
    <xf numFmtId="37" fontId="0" fillId="0" borderId="0" xfId="77" applyNumberFormat="1" applyFill="1" applyBorder="1">
      <alignment/>
      <protection/>
    </xf>
    <xf numFmtId="37" fontId="11" fillId="0" borderId="0" xfId="77" applyNumberFormat="1" applyFont="1" applyFill="1" applyBorder="1" applyAlignment="1">
      <alignment horizontal="center" vertical="center" wrapText="1"/>
      <protection/>
    </xf>
    <xf numFmtId="37" fontId="11" fillId="0" borderId="0" xfId="77" applyNumberFormat="1" applyFont="1" applyFill="1" applyBorder="1" applyAlignment="1">
      <alignment horizontal="center" vertical="center"/>
      <protection/>
    </xf>
    <xf numFmtId="37" fontId="11" fillId="0" borderId="0" xfId="77" applyNumberFormat="1" applyFont="1" applyFill="1" applyBorder="1" applyAlignment="1">
      <alignment vertical="center"/>
      <protection/>
    </xf>
    <xf numFmtId="37" fontId="0" fillId="0" borderId="0" xfId="77" applyNumberFormat="1" applyFill="1" applyBorder="1" applyAlignment="1">
      <alignment vertical="center"/>
      <protection/>
    </xf>
    <xf numFmtId="37" fontId="0" fillId="0" borderId="0" xfId="77" applyNumberFormat="1" applyFill="1" applyAlignment="1">
      <alignment vertical="center"/>
      <protection/>
    </xf>
    <xf numFmtId="37" fontId="12" fillId="0" borderId="14" xfId="77" applyNumberFormat="1" applyFont="1" applyFill="1" applyBorder="1" applyAlignment="1">
      <alignment horizontal="center" vertical="center" wrapText="1"/>
      <protection/>
    </xf>
    <xf numFmtId="37" fontId="12" fillId="0" borderId="19" xfId="77" applyNumberFormat="1" applyFont="1" applyFill="1" applyBorder="1" applyAlignment="1">
      <alignment horizontal="center" vertical="center" wrapText="1"/>
      <protection/>
    </xf>
    <xf numFmtId="37" fontId="12" fillId="0" borderId="0" xfId="77" applyNumberFormat="1" applyFont="1" applyFill="1" applyBorder="1" applyAlignment="1">
      <alignment horizontal="center" vertical="center" wrapText="1"/>
      <protection/>
    </xf>
    <xf numFmtId="37" fontId="11" fillId="0" borderId="0" xfId="77" applyNumberFormat="1" applyFont="1" applyFill="1" applyBorder="1" applyAlignment="1">
      <alignment horizontal="center" wrapText="1"/>
      <protection/>
    </xf>
    <xf numFmtId="37" fontId="0" fillId="0" borderId="19" xfId="77" applyNumberFormat="1" applyFill="1" applyBorder="1" applyAlignment="1">
      <alignment horizontal="center" wrapText="1"/>
      <protection/>
    </xf>
    <xf numFmtId="37" fontId="0" fillId="0" borderId="0" xfId="77" applyNumberFormat="1" applyFill="1" applyAlignment="1">
      <alignment horizontal="center" wrapText="1"/>
      <protection/>
    </xf>
    <xf numFmtId="37" fontId="45" fillId="0" borderId="13" xfId="77" applyNumberFormat="1" applyFont="1" applyFill="1" applyBorder="1">
      <alignment/>
      <protection/>
    </xf>
    <xf numFmtId="37" fontId="45" fillId="0" borderId="0" xfId="77" applyNumberFormat="1" applyFont="1" applyFill="1" applyBorder="1">
      <alignment/>
      <protection/>
    </xf>
    <xf numFmtId="37" fontId="10" fillId="0" borderId="19" xfId="77" applyNumberFormat="1" applyFont="1" applyFill="1" applyBorder="1">
      <alignment/>
      <protection/>
    </xf>
    <xf numFmtId="37" fontId="10" fillId="0" borderId="0" xfId="77" applyNumberFormat="1" applyFont="1" applyFill="1">
      <alignment/>
      <protection/>
    </xf>
    <xf numFmtId="37" fontId="45" fillId="0" borderId="19" xfId="77" applyNumberFormat="1" applyFont="1" applyFill="1" applyBorder="1">
      <alignment/>
      <protection/>
    </xf>
    <xf numFmtId="37" fontId="12" fillId="0" borderId="13" xfId="77" applyNumberFormat="1" applyFont="1" applyFill="1" applyBorder="1">
      <alignment/>
      <protection/>
    </xf>
    <xf numFmtId="37" fontId="12" fillId="0" borderId="19" xfId="77" applyNumberFormat="1" applyFont="1" applyFill="1" applyBorder="1">
      <alignment/>
      <protection/>
    </xf>
    <xf numFmtId="37" fontId="0" fillId="0" borderId="19" xfId="77" applyNumberFormat="1" applyFill="1" applyBorder="1">
      <alignment/>
      <protection/>
    </xf>
    <xf numFmtId="37" fontId="12" fillId="0" borderId="38" xfId="77" applyNumberFormat="1" applyFont="1" applyFill="1" applyBorder="1">
      <alignment/>
      <protection/>
    </xf>
    <xf numFmtId="37" fontId="12" fillId="0" borderId="39" xfId="77" applyNumberFormat="1" applyFont="1" applyFill="1" applyBorder="1">
      <alignment/>
      <protection/>
    </xf>
    <xf numFmtId="37" fontId="12" fillId="0" borderId="40" xfId="77" applyNumberFormat="1" applyFont="1" applyFill="1" applyBorder="1">
      <alignment/>
      <protection/>
    </xf>
    <xf numFmtId="37" fontId="3" fillId="0" borderId="19" xfId="77" applyNumberFormat="1" applyFont="1" applyFill="1" applyBorder="1">
      <alignment/>
      <protection/>
    </xf>
    <xf numFmtId="37" fontId="12" fillId="0" borderId="17" xfId="77" applyNumberFormat="1" applyFont="1" applyFill="1" applyBorder="1">
      <alignment/>
      <protection/>
    </xf>
    <xf numFmtId="37" fontId="12" fillId="0" borderId="12" xfId="77" applyNumberFormat="1" applyFont="1" applyFill="1" applyBorder="1">
      <alignment/>
      <protection/>
    </xf>
    <xf numFmtId="37" fontId="12" fillId="0" borderId="41" xfId="77" applyNumberFormat="1" applyFont="1" applyFill="1" applyBorder="1">
      <alignment/>
      <protection/>
    </xf>
    <xf numFmtId="37" fontId="4" fillId="0" borderId="0" xfId="77" applyNumberFormat="1" applyFont="1" applyFill="1">
      <alignment/>
      <protection/>
    </xf>
    <xf numFmtId="37" fontId="47" fillId="0" borderId="0" xfId="77" applyNumberFormat="1" applyFont="1" applyFill="1">
      <alignment/>
      <protection/>
    </xf>
    <xf numFmtId="37" fontId="12" fillId="0" borderId="0" xfId="77" applyNumberFormat="1" applyFont="1" applyFill="1" applyBorder="1" applyAlignment="1">
      <alignment vertical="center"/>
      <protection/>
    </xf>
    <xf numFmtId="37" fontId="12" fillId="0" borderId="0" xfId="77" applyNumberFormat="1" applyFont="1" applyFill="1" applyBorder="1" applyAlignment="1">
      <alignment horizontal="center" wrapText="1"/>
      <protection/>
    </xf>
    <xf numFmtId="0" fontId="12" fillId="0" borderId="0" xfId="73" applyFont="1">
      <alignment/>
      <protection/>
    </xf>
    <xf numFmtId="0" fontId="12" fillId="0" borderId="0" xfId="73" applyFont="1" applyFill="1">
      <alignment/>
      <protection/>
    </xf>
    <xf numFmtId="7" fontId="12" fillId="0" borderId="0" xfId="73" applyNumberFormat="1" applyFont="1" applyFill="1">
      <alignment/>
      <protection/>
    </xf>
    <xf numFmtId="0" fontId="12" fillId="0" borderId="0" xfId="73" applyFont="1" applyAlignment="1">
      <alignment vertical="center"/>
      <protection/>
    </xf>
    <xf numFmtId="0" fontId="12" fillId="0" borderId="0" xfId="73" applyFont="1" applyFill="1" applyAlignment="1">
      <alignment vertical="center"/>
      <protection/>
    </xf>
    <xf numFmtId="5" fontId="12" fillId="0" borderId="0" xfId="73" applyNumberFormat="1" applyFont="1" applyFill="1" applyAlignment="1">
      <alignment vertical="center"/>
      <protection/>
    </xf>
    <xf numFmtId="7" fontId="12" fillId="0" borderId="0" xfId="73" applyNumberFormat="1" applyFont="1" applyFill="1" applyAlignment="1">
      <alignment vertical="center"/>
      <protection/>
    </xf>
    <xf numFmtId="5" fontId="12" fillId="0" borderId="0" xfId="73" applyNumberFormat="1" applyFont="1" applyAlignment="1">
      <alignment vertical="center"/>
      <protection/>
    </xf>
    <xf numFmtId="7" fontId="12" fillId="0" borderId="0" xfId="73" applyNumberFormat="1" applyFont="1" applyAlignment="1">
      <alignment vertical="center"/>
      <protection/>
    </xf>
    <xf numFmtId="0" fontId="12" fillId="0" borderId="0" xfId="73" applyFont="1" applyAlignment="1">
      <alignment horizontal="center"/>
      <protection/>
    </xf>
    <xf numFmtId="0" fontId="12" fillId="0" borderId="0" xfId="73" applyFont="1" applyFill="1" applyAlignment="1">
      <alignment horizontal="center"/>
      <protection/>
    </xf>
    <xf numFmtId="5" fontId="12" fillId="0" borderId="0" xfId="73" applyNumberFormat="1" applyFont="1" applyFill="1">
      <alignment/>
      <protection/>
    </xf>
    <xf numFmtId="5" fontId="11" fillId="0" borderId="42" xfId="73" applyNumberFormat="1" applyFont="1" applyFill="1" applyBorder="1">
      <alignment/>
      <protection/>
    </xf>
    <xf numFmtId="37" fontId="12" fillId="0" borderId="0" xfId="73" applyNumberFormat="1" applyFont="1" applyFill="1">
      <alignment/>
      <protection/>
    </xf>
    <xf numFmtId="0" fontId="12" fillId="0" borderId="30" xfId="73" applyFont="1" applyBorder="1">
      <alignment/>
      <protection/>
    </xf>
    <xf numFmtId="0" fontId="12" fillId="0" borderId="32" xfId="73" applyFont="1" applyFill="1" applyBorder="1">
      <alignment/>
      <protection/>
    </xf>
    <xf numFmtId="0" fontId="12" fillId="0" borderId="0" xfId="73" applyFont="1" applyAlignment="1">
      <alignment horizontal="center" wrapText="1"/>
      <protection/>
    </xf>
    <xf numFmtId="0" fontId="12" fillId="0" borderId="32" xfId="73" applyFont="1" applyFill="1" applyBorder="1" applyAlignment="1">
      <alignment horizontal="center" wrapText="1"/>
      <protection/>
    </xf>
    <xf numFmtId="0" fontId="12" fillId="0" borderId="0" xfId="73" applyFont="1" applyFill="1" applyBorder="1" applyAlignment="1">
      <alignment horizontal="center" wrapText="1"/>
      <protection/>
    </xf>
    <xf numFmtId="0" fontId="12" fillId="0" borderId="29" xfId="73" applyFont="1" applyFill="1" applyBorder="1" applyAlignment="1">
      <alignment horizontal="center" wrapText="1"/>
      <protection/>
    </xf>
    <xf numFmtId="0" fontId="12" fillId="0" borderId="0" xfId="73" applyFont="1" applyBorder="1" applyAlignment="1">
      <alignment horizontal="center" wrapText="1"/>
      <protection/>
    </xf>
    <xf numFmtId="0" fontId="12" fillId="0" borderId="30" xfId="73" applyFont="1" applyBorder="1" applyAlignment="1">
      <alignment horizontal="center" wrapText="1"/>
      <protection/>
    </xf>
    <xf numFmtId="0" fontId="12" fillId="0" borderId="0" xfId="73" applyFont="1" applyAlignment="1">
      <alignment horizontal="center" vertical="center" wrapText="1"/>
      <protection/>
    </xf>
    <xf numFmtId="0" fontId="10" fillId="0" borderId="32" xfId="73" applyFont="1" applyFill="1" applyBorder="1" applyAlignment="1">
      <alignment horizontal="center" vertical="center" wrapText="1"/>
      <protection/>
    </xf>
    <xf numFmtId="37" fontId="10" fillId="0" borderId="0" xfId="68" applyNumberFormat="1" applyFont="1" applyFill="1" applyBorder="1" applyAlignment="1">
      <alignment horizontal="center" vertical="center"/>
      <protection/>
    </xf>
    <xf numFmtId="37" fontId="10" fillId="0" borderId="32" xfId="68" applyNumberFormat="1" applyFont="1" applyFill="1" applyBorder="1" applyAlignment="1">
      <alignment horizontal="center" vertical="center"/>
      <protection/>
    </xf>
    <xf numFmtId="37" fontId="10" fillId="0" borderId="0" xfId="68" applyNumberFormat="1" applyFont="1" applyFill="1" applyBorder="1" applyAlignment="1" quotePrefix="1">
      <alignment horizontal="center" vertical="center"/>
      <protection/>
    </xf>
    <xf numFmtId="37" fontId="10" fillId="0" borderId="32" xfId="68" applyNumberFormat="1" applyFont="1" applyFill="1" applyBorder="1" applyAlignment="1" quotePrefix="1">
      <alignment horizontal="center" vertical="center"/>
      <protection/>
    </xf>
    <xf numFmtId="0" fontId="12" fillId="0" borderId="0" xfId="73" applyFont="1" applyFill="1" applyBorder="1" applyAlignment="1">
      <alignment horizontal="center" vertical="center" wrapText="1"/>
      <protection/>
    </xf>
    <xf numFmtId="37" fontId="10" fillId="0" borderId="0" xfId="68" applyNumberFormat="1" applyFont="1" applyFill="1" applyAlignment="1" quotePrefix="1">
      <alignment horizontal="center" vertical="center"/>
      <protection/>
    </xf>
    <xf numFmtId="0" fontId="12" fillId="0" borderId="0" xfId="73" applyFont="1" applyBorder="1" applyAlignment="1">
      <alignment horizontal="center" vertical="center" wrapText="1"/>
      <protection/>
    </xf>
    <xf numFmtId="0" fontId="12" fillId="0" borderId="30" xfId="73" applyFont="1" applyBorder="1" applyAlignment="1">
      <alignment horizontal="center" vertical="center" wrapText="1"/>
      <protection/>
    </xf>
    <xf numFmtId="0" fontId="12" fillId="0" borderId="43" xfId="73" applyFont="1" applyFill="1" applyBorder="1" applyAlignment="1">
      <alignment horizontal="center" wrapText="1"/>
      <protection/>
    </xf>
    <xf numFmtId="0" fontId="12" fillId="0" borderId="44" xfId="73" applyFont="1" applyFill="1" applyBorder="1" applyAlignment="1">
      <alignment horizontal="center" wrapText="1"/>
      <protection/>
    </xf>
    <xf numFmtId="0" fontId="0" fillId="0" borderId="45" xfId="73" applyFont="1" applyFill="1" applyBorder="1" applyAlignment="1">
      <alignment horizontal="center" wrapText="1"/>
      <protection/>
    </xf>
    <xf numFmtId="0" fontId="0" fillId="0" borderId="42" xfId="73" applyFont="1" applyFill="1" applyBorder="1" applyAlignment="1">
      <alignment horizontal="center" wrapText="1"/>
      <protection/>
    </xf>
    <xf numFmtId="0" fontId="0" fillId="0" borderId="10" xfId="73" applyFont="1" applyFill="1" applyBorder="1" applyAlignment="1">
      <alignment horizontal="center" wrapText="1"/>
      <protection/>
    </xf>
    <xf numFmtId="0" fontId="0" fillId="0" borderId="10" xfId="73" applyFont="1" applyBorder="1" applyAlignment="1">
      <alignment horizontal="center" wrapText="1"/>
      <protection/>
    </xf>
    <xf numFmtId="0" fontId="51" fillId="0" borderId="44" xfId="73" applyFont="1" applyFill="1" applyBorder="1" applyAlignment="1">
      <alignment horizontal="center" wrapText="1"/>
      <protection/>
    </xf>
    <xf numFmtId="0" fontId="51" fillId="0" borderId="10" xfId="73" applyFont="1" applyFill="1" applyBorder="1" applyAlignment="1">
      <alignment horizontal="center" wrapText="1"/>
      <protection/>
    </xf>
    <xf numFmtId="0" fontId="12" fillId="0" borderId="10" xfId="73" applyFont="1" applyFill="1" applyBorder="1" applyAlignment="1">
      <alignment horizontal="center" wrapText="1"/>
      <protection/>
    </xf>
    <xf numFmtId="0" fontId="12" fillId="0" borderId="10" xfId="73" applyFont="1" applyBorder="1" applyAlignment="1">
      <alignment horizontal="center" wrapText="1"/>
      <protection/>
    </xf>
    <xf numFmtId="0" fontId="51" fillId="0" borderId="10" xfId="73" applyFont="1" applyBorder="1" applyAlignment="1">
      <alignment horizontal="center" wrapText="1"/>
      <protection/>
    </xf>
    <xf numFmtId="0" fontId="12" fillId="0" borderId="46" xfId="73" applyFont="1" applyBorder="1" applyAlignment="1">
      <alignment horizontal="center" wrapText="1"/>
      <protection/>
    </xf>
    <xf numFmtId="0" fontId="12" fillId="0" borderId="10" xfId="73" applyFont="1" applyBorder="1">
      <alignment/>
      <protection/>
    </xf>
    <xf numFmtId="0" fontId="53" fillId="0" borderId="0" xfId="73" applyFont="1" applyBorder="1">
      <alignment/>
      <protection/>
    </xf>
    <xf numFmtId="0" fontId="11" fillId="0" borderId="0" xfId="73" applyFont="1" applyBorder="1">
      <alignment/>
      <protection/>
    </xf>
    <xf numFmtId="0" fontId="5" fillId="0" borderId="0" xfId="73" applyFont="1" applyFill="1" applyBorder="1" applyAlignment="1">
      <alignment horizontal="right"/>
      <protection/>
    </xf>
    <xf numFmtId="0" fontId="11" fillId="0" borderId="0" xfId="73" applyFont="1" applyFill="1" applyBorder="1">
      <alignment/>
      <protection/>
    </xf>
    <xf numFmtId="0" fontId="54" fillId="0" borderId="0" xfId="71" applyFont="1" applyFill="1">
      <alignment/>
      <protection/>
    </xf>
    <xf numFmtId="0" fontId="12" fillId="0" borderId="0" xfId="73" applyFont="1" applyBorder="1">
      <alignment/>
      <protection/>
    </xf>
    <xf numFmtId="0" fontId="11" fillId="0" borderId="0" xfId="73" applyFont="1" applyFill="1" applyBorder="1" applyAlignment="1">
      <alignment horizontal="right"/>
      <protection/>
    </xf>
    <xf numFmtId="0" fontId="12" fillId="0" borderId="0" xfId="73" applyFont="1" applyFill="1" applyBorder="1">
      <alignment/>
      <protection/>
    </xf>
    <xf numFmtId="0" fontId="14" fillId="0" borderId="0" xfId="73" applyFont="1" applyBorder="1">
      <alignment/>
      <protection/>
    </xf>
    <xf numFmtId="0" fontId="116" fillId="0" borderId="0" xfId="68" applyFont="1" applyFill="1" applyBorder="1">
      <alignment/>
      <protection/>
    </xf>
    <xf numFmtId="0" fontId="117" fillId="0" borderId="0" xfId="73" applyFont="1" applyBorder="1">
      <alignment/>
      <protection/>
    </xf>
    <xf numFmtId="37" fontId="3" fillId="0" borderId="21" xfId="0" applyNumberFormat="1" applyFont="1" applyFill="1" applyBorder="1" applyAlignment="1">
      <alignment horizontal="center"/>
    </xf>
    <xf numFmtId="37" fontId="106" fillId="0" borderId="0" xfId="68" applyNumberFormat="1" applyFont="1" applyFill="1" applyAlignment="1">
      <alignment horizontal="left"/>
      <protection/>
    </xf>
    <xf numFmtId="37" fontId="89" fillId="0" borderId="0" xfId="68" applyNumberFormat="1" applyFont="1" applyFill="1" applyAlignment="1">
      <alignment horizontal="left"/>
      <protection/>
    </xf>
    <xf numFmtId="37" fontId="12" fillId="0" borderId="0" xfId="68" applyNumberFormat="1" applyFont="1" applyFill="1" applyAlignment="1">
      <alignment/>
      <protection/>
    </xf>
    <xf numFmtId="37" fontId="118" fillId="0" borderId="0" xfId="0" applyNumberFormat="1" applyFont="1" applyFill="1" applyAlignment="1">
      <alignment horizontal="center" vertical="center" wrapText="1"/>
    </xf>
    <xf numFmtId="37" fontId="109" fillId="0" borderId="0" xfId="72" applyNumberFormat="1" applyFont="1" applyFill="1">
      <alignment/>
      <protection/>
    </xf>
    <xf numFmtId="37" fontId="117" fillId="0" borderId="0" xfId="50" applyNumberFormat="1" applyFont="1" applyFill="1" applyAlignment="1">
      <alignment horizontal="center"/>
    </xf>
    <xf numFmtId="37" fontId="112" fillId="0" borderId="0" xfId="72" applyNumberFormat="1" applyFont="1" applyFill="1" applyBorder="1" applyAlignment="1">
      <alignment horizontal="center"/>
      <protection/>
    </xf>
    <xf numFmtId="37" fontId="117" fillId="0" borderId="0" xfId="50" applyNumberFormat="1" applyFont="1" applyFill="1" applyAlignment="1">
      <alignment horizontal="center" wrapText="1"/>
    </xf>
    <xf numFmtId="37" fontId="118" fillId="0" borderId="0" xfId="50" applyNumberFormat="1" applyFont="1" applyFill="1" applyAlignment="1" quotePrefix="1">
      <alignment horizontal="center"/>
    </xf>
    <xf numFmtId="37" fontId="117" fillId="0" borderId="0" xfId="50" applyNumberFormat="1" applyFont="1" applyFill="1" applyAlignment="1" quotePrefix="1">
      <alignment horizontal="center"/>
    </xf>
    <xf numFmtId="5" fontId="109" fillId="0" borderId="0" xfId="50" applyNumberFormat="1" applyFont="1" applyFill="1" applyAlignment="1">
      <alignment/>
    </xf>
    <xf numFmtId="37" fontId="109" fillId="0" borderId="0" xfId="50" applyNumberFormat="1" applyFont="1" applyFill="1" applyAlignment="1">
      <alignment/>
    </xf>
    <xf numFmtId="5" fontId="109" fillId="0" borderId="11" xfId="50" applyNumberFormat="1" applyFont="1" applyFill="1" applyBorder="1" applyAlignment="1">
      <alignment/>
    </xf>
    <xf numFmtId="5" fontId="109" fillId="0" borderId="12" xfId="50" applyNumberFormat="1" applyFont="1" applyFill="1" applyBorder="1" applyAlignment="1">
      <alignment/>
    </xf>
    <xf numFmtId="37" fontId="109" fillId="0" borderId="10" xfId="50" applyNumberFormat="1" applyFont="1" applyFill="1" applyBorder="1" applyAlignment="1">
      <alignment horizontal="center" wrapText="1"/>
    </xf>
    <xf numFmtId="37" fontId="109" fillId="0" borderId="0" xfId="50" applyNumberFormat="1" applyFont="1" applyFill="1" applyBorder="1" applyAlignment="1">
      <alignment horizontal="center" wrapText="1"/>
    </xf>
    <xf numFmtId="37" fontId="4" fillId="0" borderId="0" xfId="77" applyNumberFormat="1" applyFont="1" applyFill="1" applyBorder="1">
      <alignment/>
      <protection/>
    </xf>
    <xf numFmtId="37" fontId="4" fillId="0" borderId="13" xfId="77" applyNumberFormat="1" applyFont="1" applyFill="1" applyBorder="1">
      <alignment/>
      <protection/>
    </xf>
    <xf numFmtId="37" fontId="4" fillId="0" borderId="0" xfId="77" applyNumberFormat="1" applyFont="1" applyFill="1" applyBorder="1" applyAlignment="1">
      <alignment horizontal="center"/>
      <protection/>
    </xf>
    <xf numFmtId="37" fontId="4" fillId="0" borderId="13" xfId="77" applyNumberFormat="1" applyFont="1" applyFill="1" applyBorder="1" applyAlignment="1">
      <alignment horizontal="center"/>
      <protection/>
    </xf>
    <xf numFmtId="37" fontId="4" fillId="0" borderId="19" xfId="77" applyNumberFormat="1" applyFont="1" applyFill="1" applyBorder="1" applyAlignment="1">
      <alignment horizontal="center"/>
      <protection/>
    </xf>
    <xf numFmtId="37" fontId="4" fillId="0" borderId="19" xfId="77" applyNumberFormat="1" applyFont="1" applyFill="1" applyBorder="1">
      <alignment/>
      <protection/>
    </xf>
    <xf numFmtId="37" fontId="109" fillId="33" borderId="0" xfId="50" applyNumberFormat="1" applyFont="1" applyFill="1" applyBorder="1" applyAlignment="1">
      <alignment horizontal="center" wrapText="1"/>
    </xf>
    <xf numFmtId="37" fontId="45" fillId="33" borderId="0" xfId="77" applyNumberFormat="1" applyFont="1" applyFill="1" applyBorder="1">
      <alignment/>
      <protection/>
    </xf>
    <xf numFmtId="37" fontId="12" fillId="33" borderId="0" xfId="77" applyNumberFormat="1" applyFont="1" applyFill="1" applyBorder="1">
      <alignment/>
      <protection/>
    </xf>
    <xf numFmtId="37" fontId="12" fillId="33" borderId="39" xfId="77" applyNumberFormat="1" applyFont="1" applyFill="1" applyBorder="1">
      <alignment/>
      <protection/>
    </xf>
    <xf numFmtId="37" fontId="12" fillId="33" borderId="12" xfId="77" applyNumberFormat="1" applyFont="1" applyFill="1" applyBorder="1">
      <alignment/>
      <protection/>
    </xf>
    <xf numFmtId="37" fontId="7" fillId="33" borderId="0" xfId="0" applyNumberFormat="1" applyFont="1" applyFill="1" applyAlignment="1">
      <alignment horizontal="center" vertical="center" wrapText="1"/>
    </xf>
    <xf numFmtId="37" fontId="12" fillId="0" borderId="18" xfId="77" applyNumberFormat="1" applyFont="1" applyFill="1" applyBorder="1">
      <alignment/>
      <protection/>
    </xf>
    <xf numFmtId="37" fontId="12" fillId="0" borderId="37" xfId="77" applyNumberFormat="1" applyFont="1" applyFill="1" applyBorder="1">
      <alignment/>
      <protection/>
    </xf>
    <xf numFmtId="37" fontId="12" fillId="33" borderId="18" xfId="77" applyNumberFormat="1" applyFont="1" applyFill="1" applyBorder="1">
      <alignment/>
      <protection/>
    </xf>
    <xf numFmtId="37" fontId="12" fillId="0" borderId="10" xfId="77" applyNumberFormat="1" applyFont="1" applyFill="1" applyBorder="1">
      <alignment/>
      <protection/>
    </xf>
    <xf numFmtId="37" fontId="12" fillId="0" borderId="20" xfId="77" applyNumberFormat="1" applyFont="1" applyFill="1" applyBorder="1" applyAlignment="1">
      <alignment horizontal="center" vertical="center" wrapText="1"/>
      <protection/>
    </xf>
    <xf numFmtId="37" fontId="12" fillId="0" borderId="25" xfId="77" applyNumberFormat="1" applyFont="1" applyFill="1" applyBorder="1">
      <alignment/>
      <protection/>
    </xf>
    <xf numFmtId="37" fontId="109" fillId="33" borderId="14" xfId="50" applyNumberFormat="1" applyFont="1" applyFill="1" applyBorder="1" applyAlignment="1">
      <alignment horizontal="center" wrapText="1"/>
    </xf>
    <xf numFmtId="37" fontId="4" fillId="33" borderId="13" xfId="77" applyNumberFormat="1" applyFont="1" applyFill="1" applyBorder="1" applyAlignment="1">
      <alignment horizontal="center"/>
      <protection/>
    </xf>
    <xf numFmtId="37" fontId="45" fillId="33" borderId="13" xfId="77" applyNumberFormat="1" applyFont="1" applyFill="1" applyBorder="1">
      <alignment/>
      <protection/>
    </xf>
    <xf numFmtId="37" fontId="12" fillId="33" borderId="13" xfId="77" applyNumberFormat="1" applyFont="1" applyFill="1" applyBorder="1">
      <alignment/>
      <protection/>
    </xf>
    <xf numFmtId="37" fontId="12" fillId="33" borderId="37" xfId="77" applyNumberFormat="1" applyFont="1" applyFill="1" applyBorder="1">
      <alignment/>
      <protection/>
    </xf>
    <xf numFmtId="37" fontId="12" fillId="33" borderId="38" xfId="77" applyNumberFormat="1" applyFont="1" applyFill="1" applyBorder="1">
      <alignment/>
      <protection/>
    </xf>
    <xf numFmtId="37" fontId="12" fillId="33" borderId="17" xfId="77" applyNumberFormat="1" applyFont="1" applyFill="1" applyBorder="1">
      <alignment/>
      <protection/>
    </xf>
    <xf numFmtId="37" fontId="118" fillId="0" borderId="0" xfId="50" applyNumberFormat="1" applyFont="1" applyFill="1" applyAlignment="1">
      <alignment horizontal="center" wrapText="1"/>
    </xf>
    <xf numFmtId="37" fontId="109" fillId="0" borderId="0" xfId="50" applyNumberFormat="1" applyFont="1" applyFill="1" applyAlignment="1">
      <alignment horizontal="center" wrapText="1"/>
    </xf>
    <xf numFmtId="37" fontId="112" fillId="0" borderId="0" xfId="72" applyNumberFormat="1" applyFont="1" applyFill="1">
      <alignment/>
      <protection/>
    </xf>
    <xf numFmtId="37" fontId="112" fillId="0" borderId="0" xfId="72" applyNumberFormat="1" applyFont="1" applyFill="1" applyAlignment="1">
      <alignment horizontal="center"/>
      <protection/>
    </xf>
    <xf numFmtId="37" fontId="109" fillId="0" borderId="0" xfId="72" applyNumberFormat="1" applyFont="1" applyFill="1" applyAlignment="1">
      <alignment wrapText="1"/>
      <protection/>
    </xf>
    <xf numFmtId="37" fontId="109" fillId="0" borderId="0" xfId="72" applyNumberFormat="1" applyFont="1" applyFill="1" applyAlignment="1">
      <alignment horizontal="center" wrapText="1"/>
      <protection/>
    </xf>
    <xf numFmtId="37" fontId="109" fillId="0" borderId="0" xfId="50" applyNumberFormat="1" applyFont="1" applyFill="1" applyAlignment="1" quotePrefix="1">
      <alignment horizontal="center" wrapText="1"/>
    </xf>
    <xf numFmtId="37" fontId="109" fillId="0" borderId="19" xfId="50" applyNumberFormat="1" applyFont="1" applyFill="1" applyBorder="1" applyAlignment="1">
      <alignment horizontal="center" wrapText="1"/>
    </xf>
    <xf numFmtId="37" fontId="119" fillId="0" borderId="0" xfId="72" applyNumberFormat="1" applyFont="1" applyFill="1">
      <alignment/>
      <protection/>
    </xf>
    <xf numFmtId="37" fontId="118" fillId="0" borderId="0" xfId="50" applyNumberFormat="1" applyFont="1" applyFill="1" applyBorder="1" applyAlignment="1">
      <alignment horizontal="center" wrapText="1"/>
    </xf>
    <xf numFmtId="37" fontId="118" fillId="0" borderId="0" xfId="50" applyNumberFormat="1" applyFont="1" applyFill="1" applyBorder="1" applyAlignment="1" quotePrefix="1">
      <alignment horizontal="center"/>
    </xf>
    <xf numFmtId="37" fontId="118" fillId="0" borderId="19" xfId="50" applyNumberFormat="1" applyFont="1" applyFill="1" applyBorder="1" applyAlignment="1">
      <alignment horizontal="center"/>
    </xf>
    <xf numFmtId="37" fontId="118" fillId="0" borderId="0" xfId="50" applyNumberFormat="1" applyFont="1" applyFill="1" applyBorder="1" applyAlignment="1">
      <alignment horizontal="center"/>
    </xf>
    <xf numFmtId="37" fontId="120" fillId="0" borderId="0" xfId="50" applyNumberFormat="1" applyFont="1" applyFill="1" applyAlignment="1">
      <alignment horizontal="center"/>
    </xf>
    <xf numFmtId="37" fontId="117" fillId="0" borderId="0" xfId="50" applyNumberFormat="1" applyFont="1" applyFill="1" applyBorder="1" applyAlignment="1">
      <alignment horizontal="center" wrapText="1"/>
    </xf>
    <xf numFmtId="37" fontId="117" fillId="0" borderId="0" xfId="50" applyNumberFormat="1" applyFont="1" applyFill="1" applyBorder="1" applyAlignment="1" quotePrefix="1">
      <alignment horizontal="center"/>
    </xf>
    <xf numFmtId="37" fontId="117" fillId="0" borderId="19" xfId="50" applyNumberFormat="1" applyFont="1" applyFill="1" applyBorder="1" applyAlignment="1" quotePrefix="1">
      <alignment horizontal="center"/>
    </xf>
    <xf numFmtId="37" fontId="112" fillId="0" borderId="0" xfId="50" applyNumberFormat="1" applyFont="1" applyFill="1" applyAlignment="1">
      <alignment horizontal="center"/>
    </xf>
    <xf numFmtId="37" fontId="109" fillId="0" borderId="0" xfId="50" applyNumberFormat="1" applyFont="1" applyFill="1" applyBorder="1" applyAlignment="1">
      <alignment/>
    </xf>
    <xf numFmtId="5" fontId="109" fillId="0" borderId="0" xfId="50" applyNumberFormat="1" applyFont="1" applyFill="1" applyBorder="1" applyAlignment="1">
      <alignment/>
    </xf>
    <xf numFmtId="5" fontId="109" fillId="0" borderId="19" xfId="50" applyNumberFormat="1" applyFont="1" applyFill="1" applyBorder="1" applyAlignment="1">
      <alignment/>
    </xf>
    <xf numFmtId="37" fontId="109" fillId="0" borderId="19" xfId="50" applyNumberFormat="1" applyFont="1" applyFill="1" applyBorder="1" applyAlignment="1">
      <alignment/>
    </xf>
    <xf numFmtId="37" fontId="109" fillId="0" borderId="11" xfId="72" applyNumberFormat="1" applyFont="1" applyFill="1" applyBorder="1">
      <alignment/>
      <protection/>
    </xf>
    <xf numFmtId="37" fontId="109" fillId="0" borderId="11" xfId="50" applyNumberFormat="1" applyFont="1" applyFill="1" applyBorder="1" applyAlignment="1">
      <alignment/>
    </xf>
    <xf numFmtId="5" fontId="109" fillId="0" borderId="47" xfId="50" applyNumberFormat="1" applyFont="1" applyFill="1" applyBorder="1" applyAlignment="1">
      <alignment/>
    </xf>
    <xf numFmtId="37" fontId="109" fillId="0" borderId="12" xfId="72" applyNumberFormat="1" applyFont="1" applyFill="1" applyBorder="1">
      <alignment/>
      <protection/>
    </xf>
    <xf numFmtId="37" fontId="109" fillId="0" borderId="12" xfId="50" applyNumberFormat="1" applyFont="1" applyFill="1" applyBorder="1" applyAlignment="1">
      <alignment/>
    </xf>
    <xf numFmtId="5" fontId="109" fillId="0" borderId="41" xfId="50" applyNumberFormat="1" applyFont="1" applyFill="1" applyBorder="1" applyAlignment="1">
      <alignment/>
    </xf>
    <xf numFmtId="37" fontId="118" fillId="0" borderId="19" xfId="50" applyNumberFormat="1" applyFont="1" applyFill="1" applyBorder="1" applyAlignment="1">
      <alignment horizontal="center" wrapText="1"/>
    </xf>
    <xf numFmtId="37" fontId="117" fillId="0" borderId="19" xfId="50" applyNumberFormat="1" applyFont="1" applyFill="1" applyBorder="1" applyAlignment="1">
      <alignment horizontal="center" wrapText="1"/>
    </xf>
    <xf numFmtId="37" fontId="117" fillId="0" borderId="24" xfId="50" applyNumberFormat="1" applyFont="1" applyFill="1" applyBorder="1" applyAlignment="1">
      <alignment horizontal="center" wrapText="1"/>
    </xf>
    <xf numFmtId="37" fontId="109" fillId="0" borderId="24" xfId="50" applyNumberFormat="1" applyFont="1" applyFill="1" applyBorder="1" applyAlignment="1">
      <alignment/>
    </xf>
    <xf numFmtId="37" fontId="109" fillId="0" borderId="47" xfId="50" applyNumberFormat="1" applyFont="1" applyFill="1" applyBorder="1" applyAlignment="1">
      <alignment/>
    </xf>
    <xf numFmtId="37" fontId="109" fillId="0" borderId="26" xfId="50" applyNumberFormat="1" applyFont="1" applyFill="1" applyBorder="1" applyAlignment="1">
      <alignment/>
    </xf>
    <xf numFmtId="37" fontId="109" fillId="0" borderId="41" xfId="50" applyNumberFormat="1" applyFont="1" applyFill="1" applyBorder="1" applyAlignment="1">
      <alignment/>
    </xf>
    <xf numFmtId="37" fontId="12" fillId="0" borderId="0" xfId="68" applyNumberFormat="1" applyFont="1" applyFill="1" applyBorder="1" applyAlignment="1">
      <alignment/>
      <protection/>
    </xf>
    <xf numFmtId="37" fontId="109" fillId="0" borderId="0" xfId="72" applyNumberFormat="1" applyFont="1" applyFill="1" applyBorder="1">
      <alignment/>
      <protection/>
    </xf>
    <xf numFmtId="37" fontId="109" fillId="0" borderId="18" xfId="72" applyNumberFormat="1" applyFont="1" applyFill="1" applyBorder="1">
      <alignment/>
      <protection/>
    </xf>
    <xf numFmtId="37" fontId="109" fillId="0" borderId="18" xfId="50" applyNumberFormat="1" applyFont="1" applyFill="1" applyBorder="1" applyAlignment="1">
      <alignment/>
    </xf>
    <xf numFmtId="37" fontId="109" fillId="0" borderId="25" xfId="50" applyNumberFormat="1" applyFont="1" applyFill="1" applyBorder="1" applyAlignment="1">
      <alignment/>
    </xf>
    <xf numFmtId="37" fontId="109" fillId="0" borderId="15" xfId="50" applyNumberFormat="1" applyFont="1" applyFill="1" applyBorder="1" applyAlignment="1">
      <alignment/>
    </xf>
    <xf numFmtId="37" fontId="118" fillId="0" borderId="24" xfId="50" applyNumberFormat="1" applyFont="1" applyFill="1" applyBorder="1" applyAlignment="1" quotePrefix="1">
      <alignment horizontal="center"/>
    </xf>
    <xf numFmtId="37" fontId="117" fillId="0" borderId="24" xfId="50" applyNumberFormat="1" applyFont="1" applyFill="1" applyBorder="1" applyAlignment="1" quotePrefix="1">
      <alignment horizontal="center"/>
    </xf>
    <xf numFmtId="37" fontId="109" fillId="0" borderId="0" xfId="50" applyNumberFormat="1" applyFont="1" applyFill="1" applyBorder="1" applyAlignment="1">
      <alignment horizontal="center"/>
    </xf>
    <xf numFmtId="37" fontId="109" fillId="0" borderId="27" xfId="50" applyNumberFormat="1" applyFont="1" applyFill="1" applyBorder="1" applyAlignment="1">
      <alignment horizontal="center" wrapText="1"/>
    </xf>
    <xf numFmtId="37" fontId="109" fillId="0" borderId="48" xfId="50" applyNumberFormat="1" applyFont="1" applyFill="1" applyBorder="1" applyAlignment="1" quotePrefix="1">
      <alignment horizontal="center" wrapText="1"/>
    </xf>
    <xf numFmtId="37" fontId="4" fillId="0" borderId="0" xfId="77" applyNumberFormat="1" applyFont="1" applyFill="1" applyAlignment="1">
      <alignment vertical="top"/>
      <protection/>
    </xf>
    <xf numFmtId="0" fontId="117" fillId="33" borderId="0" xfId="73" applyFont="1" applyFill="1" applyBorder="1">
      <alignment/>
      <protection/>
    </xf>
    <xf numFmtId="0" fontId="121" fillId="33" borderId="0" xfId="73" applyFont="1" applyFill="1" applyBorder="1">
      <alignment/>
      <protection/>
    </xf>
    <xf numFmtId="0" fontId="116" fillId="33" borderId="0" xfId="73" applyFont="1" applyFill="1" applyBorder="1" applyAlignment="1">
      <alignment horizontal="right"/>
      <protection/>
    </xf>
    <xf numFmtId="0" fontId="122" fillId="33" borderId="0" xfId="71" applyFont="1" applyFill="1">
      <alignment/>
      <protection/>
    </xf>
    <xf numFmtId="0" fontId="123" fillId="33" borderId="0" xfId="73" applyFont="1" applyFill="1" applyBorder="1">
      <alignment/>
      <protection/>
    </xf>
    <xf numFmtId="0" fontId="112" fillId="33" borderId="0" xfId="73" applyFont="1" applyFill="1" applyBorder="1">
      <alignment/>
      <protection/>
    </xf>
    <xf numFmtId="0" fontId="124" fillId="33" borderId="0" xfId="73" applyFont="1" applyFill="1" applyBorder="1">
      <alignment/>
      <protection/>
    </xf>
    <xf numFmtId="0" fontId="105" fillId="33" borderId="0" xfId="73" applyFont="1" applyFill="1" applyBorder="1" applyAlignment="1">
      <alignment horizontal="right"/>
      <protection/>
    </xf>
    <xf numFmtId="0" fontId="125" fillId="33" borderId="0" xfId="73" applyFont="1" applyFill="1" applyBorder="1">
      <alignment/>
      <protection/>
    </xf>
    <xf numFmtId="0" fontId="126" fillId="33" borderId="0" xfId="73" applyFont="1" applyFill="1" applyBorder="1">
      <alignment/>
      <protection/>
    </xf>
    <xf numFmtId="0" fontId="109" fillId="33" borderId="0" xfId="73" applyFont="1" applyFill="1">
      <alignment/>
      <protection/>
    </xf>
    <xf numFmtId="37" fontId="5" fillId="33" borderId="0" xfId="68" applyNumberFormat="1" applyFont="1" applyFill="1" applyBorder="1" applyAlignment="1">
      <alignment horizontal="center" vertical="center"/>
      <protection/>
    </xf>
    <xf numFmtId="0" fontId="109" fillId="33" borderId="10" xfId="73" applyFont="1" applyFill="1" applyBorder="1">
      <alignment/>
      <protection/>
    </xf>
    <xf numFmtId="0" fontId="109" fillId="33" borderId="46" xfId="73" applyFont="1" applyFill="1" applyBorder="1" applyAlignment="1">
      <alignment horizontal="center" wrapText="1"/>
      <protection/>
    </xf>
    <xf numFmtId="0" fontId="109" fillId="33" borderId="36" xfId="73" applyFont="1" applyFill="1" applyBorder="1" applyAlignment="1">
      <alignment horizontal="center" wrapText="1"/>
      <protection/>
    </xf>
    <xf numFmtId="0" fontId="127" fillId="33" borderId="10" xfId="73" applyFont="1" applyFill="1" applyBorder="1" applyAlignment="1">
      <alignment horizontal="center" wrapText="1"/>
      <protection/>
    </xf>
    <xf numFmtId="0" fontId="109" fillId="33" borderId="10" xfId="73" applyFont="1" applyFill="1" applyBorder="1" applyAlignment="1">
      <alignment horizontal="center" wrapText="1"/>
      <protection/>
    </xf>
    <xf numFmtId="0" fontId="102" fillId="33" borderId="10" xfId="73" applyFont="1" applyFill="1" applyBorder="1" applyAlignment="1">
      <alignment horizontal="center" wrapText="1"/>
      <protection/>
    </xf>
    <xf numFmtId="0" fontId="109" fillId="33" borderId="44" xfId="73" applyFont="1" applyFill="1" applyBorder="1" applyAlignment="1">
      <alignment horizontal="center" wrapText="1"/>
      <protection/>
    </xf>
    <xf numFmtId="0" fontId="102" fillId="33" borderId="42" xfId="73" applyFont="1" applyFill="1" applyBorder="1" applyAlignment="1">
      <alignment horizontal="center" wrapText="1"/>
      <protection/>
    </xf>
    <xf numFmtId="0" fontId="109" fillId="33" borderId="45" xfId="73" applyFont="1" applyFill="1" applyBorder="1" applyAlignment="1">
      <alignment horizontal="center" wrapText="1"/>
      <protection/>
    </xf>
    <xf numFmtId="0" fontId="127" fillId="33" borderId="44" xfId="73" applyFont="1" applyFill="1" applyBorder="1" applyAlignment="1">
      <alignment horizontal="center" wrapText="1"/>
      <protection/>
    </xf>
    <xf numFmtId="0" fontId="102" fillId="33" borderId="45" xfId="73" applyFont="1" applyFill="1" applyBorder="1" applyAlignment="1">
      <alignment horizontal="center" wrapText="1"/>
      <protection/>
    </xf>
    <xf numFmtId="0" fontId="109" fillId="33" borderId="43" xfId="73" applyFont="1" applyFill="1" applyBorder="1" applyAlignment="1">
      <alignment horizontal="center" wrapText="1"/>
      <protection/>
    </xf>
    <xf numFmtId="0" fontId="109" fillId="33" borderId="30" xfId="73" applyFont="1" applyFill="1" applyBorder="1" applyAlignment="1">
      <alignment horizontal="center" wrapText="1"/>
      <protection/>
    </xf>
    <xf numFmtId="0" fontId="109" fillId="33" borderId="29" xfId="73" applyFont="1" applyFill="1" applyBorder="1" applyAlignment="1">
      <alignment horizontal="center" wrapText="1"/>
      <protection/>
    </xf>
    <xf numFmtId="166" fontId="109" fillId="33" borderId="29" xfId="73" applyNumberFormat="1" applyFont="1" applyFill="1" applyBorder="1" applyAlignment="1">
      <alignment horizontal="center" wrapText="1"/>
      <protection/>
    </xf>
    <xf numFmtId="0" fontId="109" fillId="33" borderId="0" xfId="73" applyFont="1" applyFill="1" applyBorder="1" applyAlignment="1">
      <alignment horizontal="center" wrapText="1"/>
      <protection/>
    </xf>
    <xf numFmtId="37" fontId="16" fillId="33" borderId="0" xfId="68" applyNumberFormat="1" applyFont="1" applyFill="1" applyAlignment="1" quotePrefix="1">
      <alignment horizontal="center"/>
      <protection/>
    </xf>
    <xf numFmtId="37" fontId="16" fillId="33" borderId="0" xfId="68" applyNumberFormat="1" applyFont="1" applyFill="1" applyBorder="1" applyAlignment="1" quotePrefix="1">
      <alignment horizontal="center"/>
      <protection/>
    </xf>
    <xf numFmtId="37" fontId="16" fillId="33" borderId="32" xfId="68" applyNumberFormat="1" applyFont="1" applyFill="1" applyBorder="1" applyAlignment="1" quotePrefix="1">
      <alignment horizontal="center"/>
      <protection/>
    </xf>
    <xf numFmtId="37" fontId="16" fillId="33" borderId="0" xfId="68" applyNumberFormat="1" applyFont="1" applyFill="1" applyBorder="1" applyAlignment="1">
      <alignment horizontal="center"/>
      <protection/>
    </xf>
    <xf numFmtId="37" fontId="16" fillId="33" borderId="32" xfId="68" applyNumberFormat="1" applyFont="1" applyFill="1" applyBorder="1" applyAlignment="1">
      <alignment horizontal="center"/>
      <protection/>
    </xf>
    <xf numFmtId="37" fontId="16" fillId="33" borderId="29" xfId="68" applyNumberFormat="1" applyFont="1" applyFill="1" applyBorder="1" applyAlignment="1">
      <alignment horizontal="center"/>
      <protection/>
    </xf>
    <xf numFmtId="0" fontId="126" fillId="33" borderId="32" xfId="73" applyFont="1" applyFill="1" applyBorder="1" applyAlignment="1">
      <alignment horizontal="center" wrapText="1"/>
      <protection/>
    </xf>
    <xf numFmtId="0" fontId="109" fillId="33" borderId="32" xfId="73" applyFont="1" applyFill="1" applyBorder="1" applyAlignment="1">
      <alignment horizontal="center" wrapText="1"/>
      <protection/>
    </xf>
    <xf numFmtId="5" fontId="12" fillId="33" borderId="30" xfId="73" applyNumberFormat="1" applyFont="1" applyFill="1" applyBorder="1">
      <alignment/>
      <protection/>
    </xf>
    <xf numFmtId="37" fontId="12" fillId="33" borderId="29" xfId="73" applyNumberFormat="1" applyFont="1" applyFill="1" applyBorder="1">
      <alignment/>
      <protection/>
    </xf>
    <xf numFmtId="166" fontId="12" fillId="33" borderId="29" xfId="51" applyNumberFormat="1" applyFont="1" applyFill="1" applyBorder="1" applyAlignment="1">
      <alignment/>
    </xf>
    <xf numFmtId="5" fontId="12" fillId="33" borderId="0" xfId="73" applyNumberFormat="1" applyFont="1" applyFill="1" applyBorder="1">
      <alignment/>
      <protection/>
    </xf>
    <xf numFmtId="5" fontId="109" fillId="33" borderId="0" xfId="73" applyNumberFormat="1" applyFont="1" applyFill="1">
      <alignment/>
      <protection/>
    </xf>
    <xf numFmtId="5" fontId="109" fillId="33" borderId="32" xfId="73" applyNumberFormat="1" applyFont="1" applyFill="1" applyBorder="1">
      <alignment/>
      <protection/>
    </xf>
    <xf numFmtId="166" fontId="12" fillId="33" borderId="29" xfId="73" applyNumberFormat="1" applyFont="1" applyFill="1" applyBorder="1">
      <alignment/>
      <protection/>
    </xf>
    <xf numFmtId="5" fontId="109" fillId="33" borderId="29" xfId="73" applyNumberFormat="1" applyFont="1" applyFill="1" applyBorder="1">
      <alignment/>
      <protection/>
    </xf>
    <xf numFmtId="5" fontId="109" fillId="33" borderId="0" xfId="73" applyNumberFormat="1" applyFont="1" applyFill="1" applyBorder="1">
      <alignment/>
      <protection/>
    </xf>
    <xf numFmtId="37" fontId="12" fillId="33" borderId="30" xfId="73" applyNumberFormat="1" applyFont="1" applyFill="1" applyBorder="1">
      <alignment/>
      <protection/>
    </xf>
    <xf numFmtId="37" fontId="12" fillId="33" borderId="0" xfId="73" applyNumberFormat="1" applyFont="1" applyFill="1" applyBorder="1">
      <alignment/>
      <protection/>
    </xf>
    <xf numFmtId="37" fontId="109" fillId="33" borderId="0" xfId="73" applyNumberFormat="1" applyFont="1" applyFill="1">
      <alignment/>
      <protection/>
    </xf>
    <xf numFmtId="37" fontId="109" fillId="33" borderId="32" xfId="73" applyNumberFormat="1" applyFont="1" applyFill="1" applyBorder="1">
      <alignment/>
      <protection/>
    </xf>
    <xf numFmtId="37" fontId="109" fillId="33" borderId="29" xfId="73" applyNumberFormat="1" applyFont="1" applyFill="1" applyBorder="1">
      <alignment/>
      <protection/>
    </xf>
    <xf numFmtId="37" fontId="109" fillId="33" borderId="0" xfId="73" applyNumberFormat="1" applyFont="1" applyFill="1" applyBorder="1">
      <alignment/>
      <protection/>
    </xf>
    <xf numFmtId="37" fontId="12" fillId="33" borderId="32" xfId="73" applyNumberFormat="1" applyFont="1" applyFill="1" applyBorder="1">
      <alignment/>
      <protection/>
    </xf>
    <xf numFmtId="0" fontId="109" fillId="33" borderId="32" xfId="73" applyFont="1" applyFill="1" applyBorder="1">
      <alignment/>
      <protection/>
    </xf>
    <xf numFmtId="5" fontId="11" fillId="33" borderId="31" xfId="73" applyNumberFormat="1" applyFont="1" applyFill="1" applyBorder="1">
      <alignment/>
      <protection/>
    </xf>
    <xf numFmtId="166" fontId="12" fillId="33" borderId="11" xfId="51" applyNumberFormat="1" applyFont="1" applyFill="1" applyBorder="1" applyAlignment="1">
      <alignment/>
    </xf>
    <xf numFmtId="5" fontId="12" fillId="33" borderId="11" xfId="73" applyNumberFormat="1" applyFont="1" applyFill="1" applyBorder="1">
      <alignment/>
      <protection/>
    </xf>
    <xf numFmtId="166" fontId="12" fillId="33" borderId="34" xfId="51" applyNumberFormat="1" applyFont="1" applyFill="1" applyBorder="1" applyAlignment="1">
      <alignment/>
    </xf>
    <xf numFmtId="5" fontId="12" fillId="33" borderId="33" xfId="73" applyNumberFormat="1" applyFont="1" applyFill="1" applyBorder="1">
      <alignment/>
      <protection/>
    </xf>
    <xf numFmtId="5" fontId="12" fillId="33" borderId="34" xfId="73" applyNumberFormat="1" applyFont="1" applyFill="1" applyBorder="1">
      <alignment/>
      <protection/>
    </xf>
    <xf numFmtId="5" fontId="109" fillId="33" borderId="33" xfId="73" applyNumberFormat="1" applyFont="1" applyFill="1" applyBorder="1">
      <alignment/>
      <protection/>
    </xf>
    <xf numFmtId="5" fontId="11" fillId="33" borderId="30" xfId="73" applyNumberFormat="1" applyFont="1" applyFill="1" applyBorder="1">
      <alignment/>
      <protection/>
    </xf>
    <xf numFmtId="5" fontId="11" fillId="33" borderId="0" xfId="73" applyNumberFormat="1" applyFont="1" applyFill="1" applyBorder="1">
      <alignment/>
      <protection/>
    </xf>
    <xf numFmtId="166" fontId="12" fillId="33" borderId="0" xfId="51" applyNumberFormat="1" applyFont="1" applyFill="1" applyBorder="1" applyAlignment="1">
      <alignment/>
    </xf>
    <xf numFmtId="5" fontId="12" fillId="33" borderId="32" xfId="73" applyNumberFormat="1" applyFont="1" applyFill="1" applyBorder="1">
      <alignment/>
      <protection/>
    </xf>
    <xf numFmtId="5" fontId="12" fillId="33" borderId="29" xfId="73" applyNumberFormat="1" applyFont="1" applyFill="1" applyBorder="1">
      <alignment/>
      <protection/>
    </xf>
    <xf numFmtId="37" fontId="12" fillId="33" borderId="0" xfId="51" applyNumberFormat="1" applyFont="1" applyFill="1" applyBorder="1" applyAlignment="1">
      <alignment/>
    </xf>
    <xf numFmtId="37" fontId="12" fillId="33" borderId="29" xfId="51" applyNumberFormat="1" applyFont="1" applyFill="1" applyBorder="1" applyAlignment="1">
      <alignment/>
    </xf>
    <xf numFmtId="0" fontId="109" fillId="33" borderId="30" xfId="73" applyFont="1" applyFill="1" applyBorder="1">
      <alignment/>
      <protection/>
    </xf>
    <xf numFmtId="0" fontId="109" fillId="33" borderId="29" xfId="73" applyFont="1" applyFill="1" applyBorder="1">
      <alignment/>
      <protection/>
    </xf>
    <xf numFmtId="5" fontId="11" fillId="33" borderId="28" xfId="73" applyNumberFormat="1" applyFont="1" applyFill="1" applyBorder="1">
      <alignment/>
      <protection/>
    </xf>
    <xf numFmtId="166" fontId="11" fillId="33" borderId="12" xfId="51" applyNumberFormat="1" applyFont="1" applyFill="1" applyBorder="1" applyAlignment="1">
      <alignment/>
    </xf>
    <xf numFmtId="5" fontId="11" fillId="33" borderId="12" xfId="73" applyNumberFormat="1" applyFont="1" applyFill="1" applyBorder="1">
      <alignment/>
      <protection/>
    </xf>
    <xf numFmtId="166" fontId="11" fillId="33" borderId="49" xfId="51" applyNumberFormat="1" applyFont="1" applyFill="1" applyBorder="1" applyAlignment="1">
      <alignment/>
    </xf>
    <xf numFmtId="5" fontId="11" fillId="33" borderId="35" xfId="73" applyNumberFormat="1" applyFont="1" applyFill="1" applyBorder="1">
      <alignment/>
      <protection/>
    </xf>
    <xf numFmtId="5" fontId="11" fillId="33" borderId="36" xfId="73" applyNumberFormat="1" applyFont="1" applyFill="1" applyBorder="1">
      <alignment/>
      <protection/>
    </xf>
    <xf numFmtId="5" fontId="11" fillId="33" borderId="10" xfId="73" applyNumberFormat="1" applyFont="1" applyFill="1" applyBorder="1">
      <alignment/>
      <protection/>
    </xf>
    <xf numFmtId="5" fontId="112" fillId="33" borderId="42" xfId="73" applyNumberFormat="1" applyFont="1" applyFill="1" applyBorder="1">
      <alignment/>
      <protection/>
    </xf>
    <xf numFmtId="0" fontId="21" fillId="33" borderId="0" xfId="73" applyFont="1" applyFill="1">
      <alignment/>
      <protection/>
    </xf>
    <xf numFmtId="7" fontId="109" fillId="33" borderId="0" xfId="73" applyNumberFormat="1" applyFont="1" applyFill="1">
      <alignment/>
      <protection/>
    </xf>
    <xf numFmtId="37" fontId="125" fillId="0" borderId="0" xfId="72" applyNumberFormat="1" applyFont="1" applyFill="1">
      <alignment/>
      <protection/>
    </xf>
    <xf numFmtId="37" fontId="89" fillId="0" borderId="0" xfId="72" applyNumberFormat="1" applyFont="1" applyFill="1">
      <alignment/>
      <protection/>
    </xf>
    <xf numFmtId="37" fontId="89" fillId="0" borderId="0" xfId="72" applyNumberFormat="1" applyFont="1" applyFill="1" applyBorder="1">
      <alignment/>
      <protection/>
    </xf>
    <xf numFmtId="37" fontId="89" fillId="0" borderId="0" xfId="72" applyNumberFormat="1" applyFont="1" applyFill="1" applyBorder="1" applyAlignment="1">
      <alignment horizontal="center"/>
      <protection/>
    </xf>
    <xf numFmtId="37" fontId="128" fillId="0" borderId="0" xfId="50" applyNumberFormat="1" applyFont="1" applyFill="1" applyAlignment="1">
      <alignment horizontal="center"/>
    </xf>
    <xf numFmtId="37" fontId="89" fillId="0" borderId="0" xfId="50" applyNumberFormat="1" applyFont="1" applyFill="1" applyAlignment="1">
      <alignment horizontal="center" wrapText="1"/>
    </xf>
    <xf numFmtId="37" fontId="89" fillId="0" borderId="0" xfId="72" applyNumberFormat="1" applyFont="1" applyFill="1" applyAlignment="1">
      <alignment wrapText="1"/>
      <protection/>
    </xf>
    <xf numFmtId="37" fontId="129" fillId="0" borderId="0" xfId="50" applyNumberFormat="1" applyFont="1" applyFill="1" applyAlignment="1">
      <alignment horizontal="center"/>
    </xf>
    <xf numFmtId="5" fontId="89" fillId="0" borderId="0" xfId="50" applyNumberFormat="1" applyFont="1" applyFill="1" applyAlignment="1">
      <alignment/>
    </xf>
    <xf numFmtId="37" fontId="89" fillId="0" borderId="0" xfId="50" applyNumberFormat="1" applyFont="1" applyFill="1" applyAlignment="1">
      <alignment/>
    </xf>
    <xf numFmtId="37" fontId="129" fillId="0" borderId="0" xfId="72" applyNumberFormat="1" applyFont="1" applyFill="1" applyBorder="1">
      <alignment/>
      <protection/>
    </xf>
    <xf numFmtId="0" fontId="12" fillId="0" borderId="50" xfId="73" applyFont="1" applyFill="1" applyBorder="1" applyAlignment="1">
      <alignment horizontal="center" vertical="center" wrapText="1"/>
      <protection/>
    </xf>
    <xf numFmtId="0" fontId="12" fillId="0" borderId="48" xfId="73" applyFont="1" applyFill="1" applyBorder="1" applyAlignment="1">
      <alignment horizontal="center" vertical="center" wrapText="1"/>
      <protection/>
    </xf>
    <xf numFmtId="5" fontId="11" fillId="0" borderId="49" xfId="73" applyNumberFormat="1" applyFont="1" applyFill="1" applyBorder="1">
      <alignment/>
      <protection/>
    </xf>
    <xf numFmtId="0" fontId="9" fillId="0" borderId="0" xfId="73" applyFont="1">
      <alignment/>
      <protection/>
    </xf>
    <xf numFmtId="0" fontId="0" fillId="0" borderId="0" xfId="73" applyFont="1">
      <alignment/>
      <protection/>
    </xf>
    <xf numFmtId="0" fontId="0" fillId="0" borderId="0" xfId="73" applyFont="1" applyFill="1">
      <alignment/>
      <protection/>
    </xf>
    <xf numFmtId="0" fontId="0" fillId="0" borderId="0" xfId="73" applyFont="1" applyAlignment="1">
      <alignment horizontal="center"/>
      <protection/>
    </xf>
    <xf numFmtId="0" fontId="0" fillId="0" borderId="0" xfId="73" applyFont="1" applyFill="1" applyAlignment="1">
      <alignment horizontal="center"/>
      <protection/>
    </xf>
    <xf numFmtId="7" fontId="0" fillId="0" borderId="0" xfId="73" applyNumberFormat="1" applyFont="1" applyFill="1" applyAlignment="1">
      <alignment horizontal="center"/>
      <protection/>
    </xf>
    <xf numFmtId="7" fontId="0" fillId="0" borderId="0" xfId="73" applyNumberFormat="1" applyFont="1" applyAlignment="1">
      <alignment horizontal="center"/>
      <protection/>
    </xf>
    <xf numFmtId="37" fontId="66" fillId="0" borderId="29" xfId="68" applyNumberFormat="1" applyFont="1" applyFill="1" applyBorder="1" applyAlignment="1">
      <alignment horizontal="center" vertical="center" wrapText="1"/>
      <protection/>
    </xf>
    <xf numFmtId="37" fontId="12" fillId="0" borderId="51" xfId="73" applyNumberFormat="1" applyFont="1" applyFill="1" applyBorder="1">
      <alignment/>
      <protection/>
    </xf>
    <xf numFmtId="37" fontId="12" fillId="0" borderId="18" xfId="73" applyNumberFormat="1" applyFont="1" applyFill="1" applyBorder="1">
      <alignment/>
      <protection/>
    </xf>
    <xf numFmtId="37" fontId="12" fillId="0" borderId="52" xfId="73" applyNumberFormat="1" applyFont="1" applyFill="1" applyBorder="1">
      <alignment/>
      <protection/>
    </xf>
    <xf numFmtId="5" fontId="109" fillId="0" borderId="53" xfId="50" applyNumberFormat="1" applyFont="1" applyFill="1" applyBorder="1" applyAlignment="1">
      <alignment/>
    </xf>
    <xf numFmtId="5" fontId="109" fillId="0" borderId="15" xfId="50" applyNumberFormat="1" applyFont="1" applyFill="1" applyBorder="1" applyAlignment="1">
      <alignment/>
    </xf>
    <xf numFmtId="37" fontId="109" fillId="0" borderId="24" xfId="50" applyNumberFormat="1" applyFont="1" applyFill="1" applyBorder="1" applyAlignment="1">
      <alignment horizontal="center" wrapText="1"/>
    </xf>
    <xf numFmtId="37" fontId="118" fillId="0" borderId="25" xfId="50" applyNumberFormat="1" applyFont="1" applyFill="1" applyBorder="1" applyAlignment="1">
      <alignment horizontal="center" wrapText="1"/>
    </xf>
    <xf numFmtId="37" fontId="130" fillId="0" borderId="0" xfId="50" applyNumberFormat="1" applyFont="1" applyFill="1" applyBorder="1" applyAlignment="1">
      <alignment horizontal="center" wrapText="1"/>
    </xf>
    <xf numFmtId="37" fontId="130" fillId="0" borderId="24" xfId="50" applyNumberFormat="1" applyFont="1" applyFill="1" applyBorder="1" applyAlignment="1">
      <alignment horizontal="center" wrapText="1"/>
    </xf>
    <xf numFmtId="37" fontId="6" fillId="33" borderId="0" xfId="0" applyNumberFormat="1" applyFont="1" applyFill="1" applyBorder="1" applyAlignment="1">
      <alignment horizontal="center"/>
    </xf>
    <xf numFmtId="37" fontId="9" fillId="33" borderId="0" xfId="0" applyNumberFormat="1" applyFont="1" applyFill="1" applyBorder="1" applyAlignment="1">
      <alignment horizontal="center" wrapText="1"/>
    </xf>
    <xf numFmtId="0" fontId="109" fillId="0" borderId="13" xfId="68" applyFont="1" applyFill="1" applyBorder="1">
      <alignment/>
      <protection/>
    </xf>
    <xf numFmtId="5" fontId="109" fillId="0" borderId="13" xfId="68" applyNumberFormat="1" applyFont="1" applyFill="1" applyBorder="1">
      <alignment/>
      <protection/>
    </xf>
    <xf numFmtId="37" fontId="109" fillId="0" borderId="13" xfId="68" applyNumberFormat="1" applyFont="1" applyFill="1" applyBorder="1">
      <alignment/>
      <protection/>
    </xf>
    <xf numFmtId="5" fontId="109" fillId="0" borderId="37" xfId="55" applyNumberFormat="1" applyFont="1" applyFill="1" applyBorder="1" applyAlignment="1">
      <alignment/>
    </xf>
    <xf numFmtId="0" fontId="109" fillId="0" borderId="22" xfId="68" applyFont="1" applyFill="1" applyBorder="1" applyAlignment="1">
      <alignment horizontal="centerContinuous" wrapText="1"/>
      <protection/>
    </xf>
    <xf numFmtId="0" fontId="109" fillId="0" borderId="23" xfId="68" applyFont="1" applyFill="1" applyBorder="1" applyAlignment="1">
      <alignment horizontal="centerContinuous"/>
      <protection/>
    </xf>
    <xf numFmtId="0" fontId="109" fillId="0" borderId="54" xfId="68" applyFont="1" applyFill="1" applyBorder="1" applyAlignment="1">
      <alignment horizontal="center" wrapText="1"/>
      <protection/>
    </xf>
    <xf numFmtId="0" fontId="112" fillId="0" borderId="54" xfId="68" applyFont="1" applyFill="1" applyBorder="1" applyAlignment="1">
      <alignment horizontal="center" wrapText="1"/>
      <protection/>
    </xf>
    <xf numFmtId="0" fontId="112" fillId="0" borderId="19" xfId="68" applyFont="1" applyFill="1" applyBorder="1" applyAlignment="1" quotePrefix="1">
      <alignment wrapText="1"/>
      <protection/>
    </xf>
    <xf numFmtId="5" fontId="11" fillId="0" borderId="13" xfId="50" applyNumberFormat="1" applyFont="1" applyBorder="1" applyAlignment="1">
      <alignment/>
    </xf>
    <xf numFmtId="166" fontId="11" fillId="0" borderId="13" xfId="50" applyNumberFormat="1" applyFont="1" applyBorder="1" applyAlignment="1">
      <alignment/>
    </xf>
    <xf numFmtId="37" fontId="112" fillId="0" borderId="13" xfId="68" applyNumberFormat="1" applyFont="1" applyFill="1" applyBorder="1">
      <alignment/>
      <protection/>
    </xf>
    <xf numFmtId="165" fontId="112" fillId="0" borderId="37" xfId="68" applyNumberFormat="1" applyFont="1" applyFill="1" applyBorder="1">
      <alignment/>
      <protection/>
    </xf>
    <xf numFmtId="0" fontId="117" fillId="0" borderId="55" xfId="68" applyFont="1" applyFill="1" applyBorder="1" applyAlignment="1">
      <alignment horizontal="center"/>
      <protection/>
    </xf>
    <xf numFmtId="37" fontId="117" fillId="0" borderId="10" xfId="50" applyNumberFormat="1" applyFont="1" applyFill="1" applyBorder="1" applyAlignment="1">
      <alignment horizontal="center"/>
    </xf>
    <xf numFmtId="37" fontId="3" fillId="0" borderId="56" xfId="0" applyNumberFormat="1" applyFont="1" applyFill="1" applyBorder="1" applyAlignment="1">
      <alignment horizontal="center" vertical="center"/>
    </xf>
    <xf numFmtId="37" fontId="3" fillId="0" borderId="18" xfId="0" applyNumberFormat="1" applyFont="1" applyFill="1" applyBorder="1" applyAlignment="1" quotePrefix="1">
      <alignment horizontal="center" vertical="center"/>
    </xf>
    <xf numFmtId="37" fontId="3" fillId="0" borderId="11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 horizontal="left" vertical="top" wrapText="1"/>
    </xf>
    <xf numFmtId="37" fontId="109" fillId="0" borderId="10" xfId="72" applyNumberFormat="1" applyFont="1" applyFill="1" applyBorder="1" applyAlignment="1">
      <alignment horizontal="center"/>
      <protection/>
    </xf>
    <xf numFmtId="37" fontId="89" fillId="0" borderId="10" xfId="72" applyNumberFormat="1" applyFont="1" applyFill="1" applyBorder="1" applyAlignment="1">
      <alignment horizontal="center"/>
      <protection/>
    </xf>
    <xf numFmtId="37" fontId="112" fillId="0" borderId="0" xfId="50" applyNumberFormat="1" applyFont="1" applyFill="1" applyBorder="1" applyAlignment="1">
      <alignment horizontal="center"/>
    </xf>
    <xf numFmtId="37" fontId="112" fillId="0" borderId="0" xfId="72" applyNumberFormat="1" applyFont="1" applyFill="1" applyBorder="1" applyAlignment="1">
      <alignment horizontal="center"/>
      <protection/>
    </xf>
    <xf numFmtId="37" fontId="109" fillId="0" borderId="19" xfId="50" applyNumberFormat="1" applyFont="1" applyFill="1" applyBorder="1" applyAlignment="1">
      <alignment horizontal="center" wrapText="1"/>
    </xf>
    <xf numFmtId="37" fontId="109" fillId="0" borderId="0" xfId="50" applyNumberFormat="1" applyFont="1" applyFill="1" applyBorder="1" applyAlignment="1">
      <alignment horizontal="center" wrapText="1"/>
    </xf>
    <xf numFmtId="37" fontId="109" fillId="0" borderId="24" xfId="50" applyNumberFormat="1" applyFont="1" applyFill="1" applyBorder="1" applyAlignment="1">
      <alignment horizontal="center" wrapText="1"/>
    </xf>
    <xf numFmtId="37" fontId="109" fillId="0" borderId="10" xfId="50" applyNumberFormat="1" applyFont="1" applyFill="1" applyBorder="1" applyAlignment="1">
      <alignment horizontal="center"/>
    </xf>
    <xf numFmtId="37" fontId="13" fillId="33" borderId="48" xfId="68" applyNumberFormat="1" applyFont="1" applyFill="1" applyBorder="1" applyAlignment="1" quotePrefix="1">
      <alignment horizontal="center" wrapText="1"/>
      <protection/>
    </xf>
    <xf numFmtId="0" fontId="112" fillId="33" borderId="50" xfId="73" applyFont="1" applyFill="1" applyBorder="1" applyAlignment="1">
      <alignment horizontal="center"/>
      <protection/>
    </xf>
    <xf numFmtId="0" fontId="112" fillId="33" borderId="48" xfId="73" applyFont="1" applyFill="1" applyBorder="1" applyAlignment="1">
      <alignment horizontal="center"/>
      <protection/>
    </xf>
    <xf numFmtId="0" fontId="112" fillId="33" borderId="57" xfId="73" applyFont="1" applyFill="1" applyBorder="1" applyAlignment="1">
      <alignment horizontal="center"/>
      <protection/>
    </xf>
    <xf numFmtId="0" fontId="112" fillId="33" borderId="45" xfId="73" applyFont="1" applyFill="1" applyBorder="1" applyAlignment="1">
      <alignment horizontal="center"/>
      <protection/>
    </xf>
    <xf numFmtId="0" fontId="112" fillId="33" borderId="44" xfId="73" applyFont="1" applyFill="1" applyBorder="1" applyAlignment="1">
      <alignment horizontal="center"/>
      <protection/>
    </xf>
    <xf numFmtId="0" fontId="112" fillId="33" borderId="43" xfId="73" applyFont="1" applyFill="1" applyBorder="1" applyAlignment="1">
      <alignment horizontal="center"/>
      <protection/>
    </xf>
    <xf numFmtId="0" fontId="129" fillId="33" borderId="45" xfId="73" applyFont="1" applyFill="1" applyBorder="1" applyAlignment="1">
      <alignment horizontal="center"/>
      <protection/>
    </xf>
    <xf numFmtId="0" fontId="129" fillId="33" borderId="44" xfId="73" applyFont="1" applyFill="1" applyBorder="1" applyAlignment="1">
      <alignment horizontal="center"/>
      <protection/>
    </xf>
    <xf numFmtId="0" fontId="129" fillId="33" borderId="43" xfId="73" applyFont="1" applyFill="1" applyBorder="1" applyAlignment="1">
      <alignment horizontal="center"/>
      <protection/>
    </xf>
    <xf numFmtId="0" fontId="9" fillId="0" borderId="0" xfId="73" applyNumberFormat="1" applyFont="1" applyAlignment="1">
      <alignment horizontal="left" wrapText="1"/>
      <protection/>
    </xf>
    <xf numFmtId="0" fontId="11" fillId="0" borderId="50" xfId="73" applyFont="1" applyFill="1" applyBorder="1" applyAlignment="1">
      <alignment horizontal="center"/>
      <protection/>
    </xf>
    <xf numFmtId="0" fontId="11" fillId="0" borderId="48" xfId="73" applyFont="1" applyFill="1" applyBorder="1" applyAlignment="1">
      <alignment horizontal="center"/>
      <protection/>
    </xf>
    <xf numFmtId="0" fontId="11" fillId="0" borderId="57" xfId="73" applyFont="1" applyFill="1" applyBorder="1" applyAlignment="1">
      <alignment horizontal="center"/>
      <protection/>
    </xf>
    <xf numFmtId="37" fontId="58" fillId="0" borderId="48" xfId="68" applyNumberFormat="1" applyFont="1" applyFill="1" applyBorder="1" applyAlignment="1" quotePrefix="1">
      <alignment horizontal="center" vertical="center" wrapText="1"/>
      <protection/>
    </xf>
    <xf numFmtId="0" fontId="11" fillId="0" borderId="45" xfId="73" applyFont="1" applyBorder="1" applyAlignment="1">
      <alignment horizontal="center"/>
      <protection/>
    </xf>
    <xf numFmtId="0" fontId="11" fillId="0" borderId="44" xfId="73" applyFont="1" applyBorder="1" applyAlignment="1">
      <alignment horizontal="center"/>
      <protection/>
    </xf>
    <xf numFmtId="0" fontId="11" fillId="0" borderId="43" xfId="73" applyFont="1" applyBorder="1" applyAlignment="1">
      <alignment horizontal="center"/>
      <protection/>
    </xf>
    <xf numFmtId="0" fontId="11" fillId="0" borderId="44" xfId="73" applyFont="1" applyFill="1" applyBorder="1" applyAlignment="1">
      <alignment horizontal="center"/>
      <protection/>
    </xf>
    <xf numFmtId="0" fontId="11" fillId="0" borderId="43" xfId="73" applyFont="1" applyFill="1" applyBorder="1" applyAlignment="1">
      <alignment horizontal="center"/>
      <protection/>
    </xf>
    <xf numFmtId="0" fontId="5" fillId="0" borderId="45" xfId="73" applyFont="1" applyFill="1" applyBorder="1" applyAlignment="1">
      <alignment horizontal="center"/>
      <protection/>
    </xf>
    <xf numFmtId="0" fontId="5" fillId="0" borderId="44" xfId="73" applyFont="1" applyFill="1" applyBorder="1" applyAlignment="1">
      <alignment horizontal="center"/>
      <protection/>
    </xf>
    <xf numFmtId="0" fontId="5" fillId="0" borderId="43" xfId="73" applyFont="1" applyFill="1" applyBorder="1" applyAlignment="1">
      <alignment horizontal="center"/>
      <protection/>
    </xf>
    <xf numFmtId="0" fontId="109" fillId="0" borderId="22" xfId="68" applyFont="1" applyFill="1" applyBorder="1" applyAlignment="1">
      <alignment horizontal="center" wrapText="1"/>
      <protection/>
    </xf>
    <xf numFmtId="0" fontId="109" fillId="0" borderId="23" xfId="68" applyFont="1" applyFill="1" applyBorder="1" applyAlignment="1">
      <alignment horizontal="center" wrapText="1"/>
      <protection/>
    </xf>
    <xf numFmtId="0" fontId="109" fillId="0" borderId="10" xfId="68" applyFont="1" applyFill="1" applyBorder="1" applyAlignment="1">
      <alignment horizontal="center" wrapText="1"/>
      <protection/>
    </xf>
    <xf numFmtId="0" fontId="112" fillId="0" borderId="22" xfId="68" applyFont="1" applyFill="1" applyBorder="1" applyAlignment="1">
      <alignment horizontal="center" wrapText="1"/>
      <protection/>
    </xf>
    <xf numFmtId="0" fontId="112" fillId="0" borderId="10" xfId="68" applyFont="1" applyFill="1" applyBorder="1" applyAlignment="1">
      <alignment horizontal="center" wrapText="1"/>
      <protection/>
    </xf>
    <xf numFmtId="0" fontId="112" fillId="0" borderId="23" xfId="68" applyFont="1" applyFill="1" applyBorder="1" applyAlignment="1">
      <alignment horizontal="center" wrapText="1"/>
      <protection/>
    </xf>
    <xf numFmtId="0" fontId="112" fillId="0" borderId="47" xfId="68" applyFont="1" applyFill="1" applyBorder="1" applyAlignment="1" quotePrefix="1">
      <alignment horizontal="center" wrapText="1"/>
      <protection/>
    </xf>
    <xf numFmtId="0" fontId="112" fillId="0" borderId="11" xfId="68" applyFont="1" applyFill="1" applyBorder="1" applyAlignment="1" quotePrefix="1">
      <alignment horizontal="center" wrapText="1"/>
      <protection/>
    </xf>
    <xf numFmtId="0" fontId="102" fillId="0" borderId="0" xfId="68" applyFont="1" applyFill="1" applyBorder="1" applyAlignment="1">
      <alignment horizontal="left" vertical="top" wrapText="1"/>
      <protection/>
    </xf>
    <xf numFmtId="37" fontId="11" fillId="0" borderId="10" xfId="77" applyNumberFormat="1" applyFont="1" applyFill="1" applyBorder="1" applyAlignment="1">
      <alignment horizontal="center"/>
      <protection/>
    </xf>
    <xf numFmtId="37" fontId="4" fillId="0" borderId="0" xfId="77" applyNumberFormat="1" applyFont="1" applyFill="1" applyAlignment="1">
      <alignment horizontal="left" vertical="top" wrapText="1"/>
      <protection/>
    </xf>
    <xf numFmtId="37" fontId="5" fillId="0" borderId="18" xfId="71" applyNumberFormat="1" applyFont="1" applyFill="1" applyBorder="1" applyAlignment="1">
      <alignment horizontal="center" vertical="center"/>
      <protection/>
    </xf>
    <xf numFmtId="0" fontId="6" fillId="0" borderId="0" xfId="71" applyNumberFormat="1" applyFont="1" applyAlignment="1">
      <alignment wrapText="1"/>
      <protection/>
    </xf>
    <xf numFmtId="0" fontId="17" fillId="0" borderId="0" xfId="71" applyAlignment="1">
      <alignment wrapText="1"/>
      <protection/>
    </xf>
    <xf numFmtId="0" fontId="6" fillId="0" borderId="0" xfId="71" applyFont="1" applyAlignment="1">
      <alignment horizontal="left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6" xfId="49"/>
    <cellStyle name="Comma 7" xfId="50"/>
    <cellStyle name="Comma 7 2" xfId="51"/>
    <cellStyle name="Currency" xfId="52"/>
    <cellStyle name="Currency [0]" xfId="53"/>
    <cellStyle name="Currency 2" xfId="54"/>
    <cellStyle name="Currency 2 2" xfId="55"/>
    <cellStyle name="Currency 3" xfId="56"/>
    <cellStyle name="Currency 3 2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rmal 5 2" xfId="73"/>
    <cellStyle name="Normal 6" xfId="74"/>
    <cellStyle name="Normal 7" xfId="75"/>
    <cellStyle name="Normal 7 2" xfId="76"/>
    <cellStyle name="Normal 8" xfId="77"/>
    <cellStyle name="Normal 8 2" xfId="78"/>
    <cellStyle name="Note" xfId="79"/>
    <cellStyle name="Output" xfId="80"/>
    <cellStyle name="Percent" xfId="81"/>
    <cellStyle name="Percent 2" xfId="82"/>
    <cellStyle name="Percent 3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9.33203125" defaultRowHeight="12.75"/>
  <cols>
    <col min="1" max="1" width="2.33203125" style="1" customWidth="1"/>
    <col min="2" max="2" width="22.33203125" style="1" bestFit="1" customWidth="1"/>
    <col min="3" max="4" width="14.83203125" style="1" customWidth="1"/>
    <col min="5" max="5" width="15" style="1" bestFit="1" customWidth="1"/>
    <col min="6" max="6" width="14.66015625" style="1" customWidth="1"/>
    <col min="7" max="7" width="3.83203125" style="8" customWidth="1"/>
    <col min="8" max="8" width="1.83203125" style="8" customWidth="1"/>
    <col min="9" max="9" width="16.33203125" style="1" bestFit="1" customWidth="1"/>
    <col min="10" max="10" width="1.83203125" style="1" customWidth="1"/>
    <col min="11" max="11" width="16.16015625" style="1" bestFit="1" customWidth="1"/>
    <col min="12" max="12" width="1.83203125" style="1" customWidth="1"/>
    <col min="13" max="13" width="15.83203125" style="1" bestFit="1" customWidth="1"/>
    <col min="14" max="14" width="1.83203125" style="1" customWidth="1"/>
    <col min="15" max="15" width="3.83203125" style="8" customWidth="1"/>
    <col min="16" max="17" width="15" style="1" bestFit="1" customWidth="1"/>
    <col min="18" max="18" width="13.66015625" style="1" customWidth="1"/>
    <col min="19" max="19" width="15" style="1" bestFit="1" customWidth="1"/>
    <col min="20" max="20" width="9.33203125" style="1" customWidth="1"/>
    <col min="21" max="22" width="15" style="1" bestFit="1" customWidth="1"/>
    <col min="23" max="23" width="14" style="1" bestFit="1" customWidth="1"/>
    <col min="24" max="16384" width="9.33203125" style="1" customWidth="1"/>
  </cols>
  <sheetData>
    <row r="1" spans="2:18" ht="18" customHeight="1">
      <c r="B1" s="98" t="s">
        <v>201</v>
      </c>
      <c r="R1" s="103" t="s">
        <v>146</v>
      </c>
    </row>
    <row r="2" ht="16.5" customHeight="1">
      <c r="B2" s="116"/>
    </row>
    <row r="3" spans="2:19" s="46" customFormat="1" ht="18" customHeight="1" thickBot="1">
      <c r="B3" s="45"/>
      <c r="C3" s="3">
        <v>-1</v>
      </c>
      <c r="D3" s="3">
        <v>-2</v>
      </c>
      <c r="E3" s="3">
        <v>-3</v>
      </c>
      <c r="F3" s="3">
        <v>-4</v>
      </c>
      <c r="G3" s="53"/>
      <c r="H3" s="118"/>
      <c r="I3" s="3">
        <v>-5</v>
      </c>
      <c r="J3" s="3"/>
      <c r="K3" s="3">
        <v>-6</v>
      </c>
      <c r="L3" s="3"/>
      <c r="M3" s="3">
        <v>-7</v>
      </c>
      <c r="N3" s="3"/>
      <c r="O3" s="5"/>
      <c r="P3" s="3">
        <v>-8</v>
      </c>
      <c r="Q3" s="3">
        <v>-9</v>
      </c>
      <c r="R3" s="3">
        <v>-10</v>
      </c>
      <c r="S3" s="3">
        <v>-11</v>
      </c>
    </row>
    <row r="4" spans="3:19" s="4" customFormat="1" ht="18" customHeight="1">
      <c r="C4" s="543" t="s">
        <v>41</v>
      </c>
      <c r="D4" s="543"/>
      <c r="E4" s="543"/>
      <c r="F4" s="543"/>
      <c r="G4" s="54"/>
      <c r="H4" s="544" t="s">
        <v>53</v>
      </c>
      <c r="I4" s="544"/>
      <c r="J4" s="544"/>
      <c r="K4" s="544"/>
      <c r="L4" s="544"/>
      <c r="M4" s="544"/>
      <c r="N4" s="544"/>
      <c r="O4" s="54"/>
      <c r="P4" s="543" t="s">
        <v>202</v>
      </c>
      <c r="Q4" s="543"/>
      <c r="R4" s="543"/>
      <c r="S4" s="543"/>
    </row>
    <row r="5" spans="3:19" s="4" customFormat="1" ht="12.75">
      <c r="C5" s="5"/>
      <c r="D5" s="5"/>
      <c r="E5" s="5"/>
      <c r="F5" s="5"/>
      <c r="G5" s="54"/>
      <c r="H5" s="54"/>
      <c r="I5" s="545" t="s">
        <v>176</v>
      </c>
      <c r="J5" s="545"/>
      <c r="K5" s="545"/>
      <c r="L5" s="327"/>
      <c r="M5" s="182" t="s">
        <v>106</v>
      </c>
      <c r="N5" s="181"/>
      <c r="O5" s="54"/>
      <c r="P5" s="5"/>
      <c r="Q5" s="5"/>
      <c r="R5" s="5"/>
      <c r="S5" s="5"/>
    </row>
    <row r="6" spans="2:19" s="15" customFormat="1" ht="57" customHeight="1" thickBot="1">
      <c r="B6" s="14"/>
      <c r="C6" s="42" t="s">
        <v>42</v>
      </c>
      <c r="D6" s="14" t="s">
        <v>30</v>
      </c>
      <c r="E6" s="14" t="s">
        <v>31</v>
      </c>
      <c r="F6" s="14" t="s">
        <v>28</v>
      </c>
      <c r="G6" s="35"/>
      <c r="H6" s="35"/>
      <c r="I6" s="122" t="s">
        <v>195</v>
      </c>
      <c r="J6" s="42"/>
      <c r="K6" s="122" t="s">
        <v>197</v>
      </c>
      <c r="L6" s="42"/>
      <c r="M6" s="122" t="s">
        <v>159</v>
      </c>
      <c r="N6" s="42"/>
      <c r="O6" s="35"/>
      <c r="P6" s="122" t="s">
        <v>196</v>
      </c>
      <c r="Q6" s="122" t="s">
        <v>107</v>
      </c>
      <c r="R6" s="14" t="s">
        <v>52</v>
      </c>
      <c r="S6" s="14" t="s">
        <v>40</v>
      </c>
    </row>
    <row r="7" spans="2:19" s="6" customFormat="1" ht="24">
      <c r="B7" s="16"/>
      <c r="C7" s="16"/>
      <c r="D7" s="16"/>
      <c r="E7" s="16"/>
      <c r="F7" s="17" t="s">
        <v>43</v>
      </c>
      <c r="G7" s="16"/>
      <c r="H7" s="16"/>
      <c r="I7" s="18" t="s">
        <v>113</v>
      </c>
      <c r="J7" s="18"/>
      <c r="K7" s="331" t="s">
        <v>175</v>
      </c>
      <c r="L7" s="18"/>
      <c r="M7" s="18" t="s">
        <v>151</v>
      </c>
      <c r="N7" s="18"/>
      <c r="O7" s="16"/>
      <c r="P7" s="19" t="s">
        <v>181</v>
      </c>
      <c r="Q7" s="19" t="s">
        <v>180</v>
      </c>
      <c r="R7" s="62" t="s">
        <v>44</v>
      </c>
      <c r="S7" s="17" t="s">
        <v>182</v>
      </c>
    </row>
    <row r="8" ht="9" customHeight="1"/>
    <row r="9" spans="2:21" s="7" customFormat="1" ht="12.75">
      <c r="B9" s="9" t="s">
        <v>0</v>
      </c>
      <c r="C9" s="28">
        <v>49859822</v>
      </c>
      <c r="D9" s="75">
        <v>28947000</v>
      </c>
      <c r="E9" s="10">
        <v>3030000</v>
      </c>
      <c r="F9" s="7">
        <f>SUM(C9:E9)</f>
        <v>81836822</v>
      </c>
      <c r="G9" s="9"/>
      <c r="H9" s="9"/>
      <c r="I9" s="7">
        <f>'(B) Base Bud Adj'!Y8</f>
        <v>1337727</v>
      </c>
      <c r="K9" s="7">
        <f>'(C) 10-11 Expenditure Increases'!T8</f>
        <v>3977750</v>
      </c>
      <c r="M9" s="7">
        <f>'(E) SUF Revenue-326,290'!W8</f>
        <v>1872000</v>
      </c>
      <c r="O9" s="9"/>
      <c r="P9" s="7">
        <f>C9+I9+K9</f>
        <v>55175299</v>
      </c>
      <c r="Q9" s="7">
        <f aca="true" t="shared" si="0" ref="Q9:Q31">D9+M9</f>
        <v>30819000</v>
      </c>
      <c r="R9" s="7">
        <f>E9</f>
        <v>3030000</v>
      </c>
      <c r="S9" s="7">
        <f>SUM(P9:R9)</f>
        <v>89024299</v>
      </c>
      <c r="U9" s="1"/>
    </row>
    <row r="10" spans="2:19" ht="12.75">
      <c r="B10" s="8" t="s">
        <v>1</v>
      </c>
      <c r="C10" s="27">
        <v>38120853</v>
      </c>
      <c r="D10" s="74">
        <v>13044000</v>
      </c>
      <c r="E10" s="11">
        <v>1349000</v>
      </c>
      <c r="F10" s="1">
        <f>SUM(C10:E10)</f>
        <v>52513853</v>
      </c>
      <c r="I10" s="1">
        <f>'(B) Base Bud Adj'!Y9</f>
        <v>2170947</v>
      </c>
      <c r="K10" s="1">
        <f>'(C) 10-11 Expenditure Increases'!T9</f>
        <v>5677240</v>
      </c>
      <c r="M10" s="1">
        <f>'(E) SUF Revenue-326,290'!W9</f>
        <v>3292000</v>
      </c>
      <c r="P10" s="1">
        <f>C10+I10+K10</f>
        <v>45969040</v>
      </c>
      <c r="Q10" s="1">
        <f t="shared" si="0"/>
        <v>16336000</v>
      </c>
      <c r="R10" s="1">
        <f>E10</f>
        <v>1349000</v>
      </c>
      <c r="S10" s="1">
        <f>SUM(P10:R10)</f>
        <v>63654040</v>
      </c>
    </row>
    <row r="11" spans="2:19" ht="12.75">
      <c r="B11" s="8" t="s">
        <v>2</v>
      </c>
      <c r="C11" s="27">
        <v>90188102</v>
      </c>
      <c r="D11" s="74">
        <v>61237000</v>
      </c>
      <c r="E11" s="11">
        <v>9051000</v>
      </c>
      <c r="F11" s="1">
        <f aca="true" t="shared" si="1" ref="F11:F31">SUM(C11:E11)</f>
        <v>160476102</v>
      </c>
      <c r="I11" s="1">
        <f>'(B) Base Bud Adj'!Y10</f>
        <v>1179390</v>
      </c>
      <c r="K11" s="1">
        <f>'(C) 10-11 Expenditure Increases'!T10</f>
        <v>10708540</v>
      </c>
      <c r="M11" s="1">
        <f>'(E) SUF Revenue-326,290'!W10</f>
        <v>1649000</v>
      </c>
      <c r="P11" s="1">
        <f aca="true" t="shared" si="2" ref="P11:P31">C11+I11+K11</f>
        <v>102076032</v>
      </c>
      <c r="Q11" s="1">
        <f t="shared" si="0"/>
        <v>62886000</v>
      </c>
      <c r="R11" s="1">
        <f aca="true" t="shared" si="3" ref="R11:R31">E11</f>
        <v>9051000</v>
      </c>
      <c r="S11" s="1">
        <f>SUM(P11:R11)</f>
        <v>174013032</v>
      </c>
    </row>
    <row r="12" spans="2:19" ht="12.75">
      <c r="B12" s="8" t="s">
        <v>3</v>
      </c>
      <c r="C12" s="27">
        <v>61273282</v>
      </c>
      <c r="D12" s="74">
        <v>46276000</v>
      </c>
      <c r="E12" s="11">
        <v>3184000</v>
      </c>
      <c r="F12" s="1">
        <f t="shared" si="1"/>
        <v>110733282</v>
      </c>
      <c r="I12" s="1">
        <f>'(B) Base Bud Adj'!Y11</f>
        <v>499950</v>
      </c>
      <c r="K12" s="1">
        <f>'(C) 10-11 Expenditure Increases'!T11</f>
        <v>5177510</v>
      </c>
      <c r="M12" s="1">
        <f>'(E) SUF Revenue-326,290'!W11</f>
        <v>4277000</v>
      </c>
      <c r="P12" s="1">
        <f t="shared" si="2"/>
        <v>66950742</v>
      </c>
      <c r="Q12" s="1">
        <f t="shared" si="0"/>
        <v>50553000</v>
      </c>
      <c r="R12" s="1">
        <f t="shared" si="3"/>
        <v>3184000</v>
      </c>
      <c r="S12" s="1">
        <f aca="true" t="shared" si="4" ref="S12:S31">SUM(P12:R12)</f>
        <v>120687742</v>
      </c>
    </row>
    <row r="13" spans="2:19" ht="12.75">
      <c r="B13" s="8" t="s">
        <v>29</v>
      </c>
      <c r="C13" s="27">
        <v>67857621</v>
      </c>
      <c r="D13" s="74">
        <v>57544000</v>
      </c>
      <c r="E13" s="11">
        <v>14182000</v>
      </c>
      <c r="F13" s="1">
        <f t="shared" si="1"/>
        <v>139583621</v>
      </c>
      <c r="I13" s="1">
        <f>'(B) Base Bud Adj'!Y12</f>
        <v>316290</v>
      </c>
      <c r="K13" s="1">
        <f>'(C) 10-11 Expenditure Increases'!T12</f>
        <v>9455610</v>
      </c>
      <c r="M13" s="1">
        <f>'(E) SUF Revenue-326,290'!W12</f>
        <v>2969000</v>
      </c>
      <c r="P13" s="1">
        <f t="shared" si="2"/>
        <v>77629521</v>
      </c>
      <c r="Q13" s="1">
        <f t="shared" si="0"/>
        <v>60513000</v>
      </c>
      <c r="R13" s="1">
        <f t="shared" si="3"/>
        <v>14182000</v>
      </c>
      <c r="S13" s="1">
        <f t="shared" si="4"/>
        <v>152324521</v>
      </c>
    </row>
    <row r="14" spans="2:19" ht="12.75">
      <c r="B14" s="8" t="s">
        <v>4</v>
      </c>
      <c r="C14" s="27">
        <v>118055402</v>
      </c>
      <c r="D14" s="74">
        <v>82740000</v>
      </c>
      <c r="E14" s="11">
        <v>11119000</v>
      </c>
      <c r="F14" s="1">
        <f t="shared" si="1"/>
        <v>211914402</v>
      </c>
      <c r="I14" s="1">
        <f>'(B) Base Bud Adj'!Y13</f>
        <v>2485550</v>
      </c>
      <c r="K14" s="1">
        <f>'(C) 10-11 Expenditure Increases'!T13</f>
        <v>13303370</v>
      </c>
      <c r="M14" s="1">
        <f>'(E) SUF Revenue-326,290'!W13</f>
        <v>1741000</v>
      </c>
      <c r="P14" s="1">
        <f t="shared" si="2"/>
        <v>133844322</v>
      </c>
      <c r="Q14" s="1">
        <f t="shared" si="0"/>
        <v>84481000</v>
      </c>
      <c r="R14" s="1">
        <f t="shared" si="3"/>
        <v>11119000</v>
      </c>
      <c r="S14" s="1">
        <f t="shared" si="4"/>
        <v>229444322</v>
      </c>
    </row>
    <row r="15" spans="2:19" ht="12.75">
      <c r="B15" s="8" t="s">
        <v>5</v>
      </c>
      <c r="C15" s="27">
        <v>136371537</v>
      </c>
      <c r="D15" s="74">
        <v>135897000</v>
      </c>
      <c r="E15" s="11">
        <v>21642000</v>
      </c>
      <c r="F15" s="1">
        <f t="shared" si="1"/>
        <v>293910537</v>
      </c>
      <c r="I15" s="1">
        <f>'(B) Base Bud Adj'!Y14</f>
        <v>-5296750</v>
      </c>
      <c r="K15" s="1">
        <f>'(C) 10-11 Expenditure Increases'!T14</f>
        <v>20047870</v>
      </c>
      <c r="M15" s="1">
        <f>'(E) SUF Revenue-326,290'!W14</f>
        <v>6655000</v>
      </c>
      <c r="P15" s="1">
        <f t="shared" si="2"/>
        <v>151122657</v>
      </c>
      <c r="Q15" s="1">
        <f t="shared" si="0"/>
        <v>142552000</v>
      </c>
      <c r="R15" s="1">
        <f t="shared" si="3"/>
        <v>21642000</v>
      </c>
      <c r="S15" s="1">
        <f t="shared" si="4"/>
        <v>315316657</v>
      </c>
    </row>
    <row r="16" spans="2:19" ht="12.75">
      <c r="B16" s="8" t="s">
        <v>6</v>
      </c>
      <c r="C16" s="27">
        <v>62436110</v>
      </c>
      <c r="D16" s="74">
        <v>28900000</v>
      </c>
      <c r="E16" s="11">
        <v>5686000</v>
      </c>
      <c r="F16" s="1">
        <f t="shared" si="1"/>
        <v>97022110</v>
      </c>
      <c r="I16" s="1">
        <f>'(B) Base Bud Adj'!Y15</f>
        <v>2713590</v>
      </c>
      <c r="K16" s="1">
        <f>'(C) 10-11 Expenditure Increases'!T15</f>
        <v>4726040</v>
      </c>
      <c r="M16" s="1">
        <f>'(E) SUF Revenue-326,290'!W15</f>
        <v>1333000</v>
      </c>
      <c r="P16" s="1">
        <f t="shared" si="2"/>
        <v>69875740</v>
      </c>
      <c r="Q16" s="1">
        <f t="shared" si="0"/>
        <v>30233000</v>
      </c>
      <c r="R16" s="1">
        <f t="shared" si="3"/>
        <v>5686000</v>
      </c>
      <c r="S16" s="1">
        <f t="shared" si="4"/>
        <v>105794740</v>
      </c>
    </row>
    <row r="17" spans="2:19" ht="12.75">
      <c r="B17" s="8" t="s">
        <v>7</v>
      </c>
      <c r="C17" s="27">
        <v>154573278</v>
      </c>
      <c r="D17" s="74">
        <v>137219000</v>
      </c>
      <c r="E17" s="11">
        <v>24400000</v>
      </c>
      <c r="F17" s="1">
        <f t="shared" si="1"/>
        <v>316192278</v>
      </c>
      <c r="I17" s="1">
        <f>'(B) Base Bud Adj'!Y16</f>
        <v>-3315311.84</v>
      </c>
      <c r="K17" s="1">
        <f>'(C) 10-11 Expenditure Increases'!T16</f>
        <v>22894240</v>
      </c>
      <c r="M17" s="1">
        <f>'(E) SUF Revenue-326,290'!W16</f>
        <v>2709000</v>
      </c>
      <c r="P17" s="1">
        <f t="shared" si="2"/>
        <v>174152206.16</v>
      </c>
      <c r="Q17" s="1">
        <f t="shared" si="0"/>
        <v>139928000</v>
      </c>
      <c r="R17" s="1">
        <f t="shared" si="3"/>
        <v>24400000</v>
      </c>
      <c r="S17" s="1">
        <f t="shared" si="4"/>
        <v>338480206.15999997</v>
      </c>
    </row>
    <row r="18" spans="2:19" ht="12.75">
      <c r="B18" s="8" t="s">
        <v>8</v>
      </c>
      <c r="C18" s="27">
        <v>103587079</v>
      </c>
      <c r="D18" s="74">
        <v>81910000</v>
      </c>
      <c r="E18" s="11">
        <v>10818000</v>
      </c>
      <c r="F18" s="1">
        <f t="shared" si="1"/>
        <v>196315079</v>
      </c>
      <c r="I18" s="1">
        <f>'(B) Base Bud Adj'!Y17</f>
        <v>1196800</v>
      </c>
      <c r="K18" s="1">
        <f>'(C) 10-11 Expenditure Increases'!T17</f>
        <v>13429210</v>
      </c>
      <c r="M18" s="1">
        <f>'(E) SUF Revenue-326,290'!W17</f>
        <v>5467000</v>
      </c>
      <c r="P18" s="1">
        <f t="shared" si="2"/>
        <v>118213089</v>
      </c>
      <c r="Q18" s="1">
        <f t="shared" si="0"/>
        <v>87377000</v>
      </c>
      <c r="R18" s="1">
        <f t="shared" si="3"/>
        <v>10818000</v>
      </c>
      <c r="S18" s="1">
        <f t="shared" si="4"/>
        <v>216408089</v>
      </c>
    </row>
    <row r="19" spans="2:19" ht="12.75">
      <c r="B19" s="8" t="s">
        <v>9</v>
      </c>
      <c r="C19" s="27">
        <v>16472011</v>
      </c>
      <c r="D19" s="74">
        <v>2814000</v>
      </c>
      <c r="E19" s="11">
        <v>3317000</v>
      </c>
      <c r="F19" s="1">
        <f t="shared" si="1"/>
        <v>22603011</v>
      </c>
      <c r="I19" s="1">
        <f>'(B) Base Bud Adj'!Y18</f>
        <v>1638710</v>
      </c>
      <c r="K19" s="1">
        <f>'(C) 10-11 Expenditure Increases'!T18</f>
        <v>898050</v>
      </c>
      <c r="M19" s="1">
        <f>'(E) SUF Revenue-326,290'!W18</f>
        <v>369000</v>
      </c>
      <c r="P19" s="1">
        <f t="shared" si="2"/>
        <v>19008771</v>
      </c>
      <c r="Q19" s="1">
        <f t="shared" si="0"/>
        <v>3183000</v>
      </c>
      <c r="R19" s="1">
        <f t="shared" si="3"/>
        <v>3317000</v>
      </c>
      <c r="S19" s="1">
        <f t="shared" si="4"/>
        <v>25508771</v>
      </c>
    </row>
    <row r="20" spans="2:19" ht="12.75">
      <c r="B20" s="8" t="s">
        <v>10</v>
      </c>
      <c r="C20" s="27">
        <v>46061803</v>
      </c>
      <c r="D20" s="74">
        <v>14692000</v>
      </c>
      <c r="E20" s="11">
        <v>2099000</v>
      </c>
      <c r="F20" s="1">
        <f t="shared" si="1"/>
        <v>62852803</v>
      </c>
      <c r="I20" s="1">
        <f>'(B) Base Bud Adj'!Y19</f>
        <v>2463320</v>
      </c>
      <c r="K20" s="1">
        <f>'(C) 10-11 Expenditure Increases'!T19</f>
        <v>3071130</v>
      </c>
      <c r="M20" s="1">
        <f>'(E) SUF Revenue-326,290'!W19</f>
        <v>2426000</v>
      </c>
      <c r="P20" s="1">
        <f t="shared" si="2"/>
        <v>51596253</v>
      </c>
      <c r="Q20" s="1">
        <f t="shared" si="0"/>
        <v>17118000</v>
      </c>
      <c r="R20" s="1">
        <f t="shared" si="3"/>
        <v>2099000</v>
      </c>
      <c r="S20" s="1">
        <f t="shared" si="4"/>
        <v>70813253</v>
      </c>
    </row>
    <row r="21" spans="2:19" ht="12.75">
      <c r="B21" s="8" t="s">
        <v>11</v>
      </c>
      <c r="C21" s="27">
        <v>148718316</v>
      </c>
      <c r="D21" s="74">
        <v>127788000</v>
      </c>
      <c r="E21" s="11">
        <v>26955000</v>
      </c>
      <c r="F21" s="1">
        <f t="shared" si="1"/>
        <v>303461316</v>
      </c>
      <c r="I21" s="1">
        <f>'(B) Base Bud Adj'!Y20</f>
        <v>-1789100</v>
      </c>
      <c r="K21" s="1">
        <f>'(C) 10-11 Expenditure Increases'!T20</f>
        <v>19796860</v>
      </c>
      <c r="M21" s="1">
        <f>'(E) SUF Revenue-326,290'!W20</f>
        <v>4238000</v>
      </c>
      <c r="P21" s="1">
        <f t="shared" si="2"/>
        <v>166726076</v>
      </c>
      <c r="Q21" s="1">
        <f t="shared" si="0"/>
        <v>132026000</v>
      </c>
      <c r="R21" s="1">
        <f t="shared" si="3"/>
        <v>26955000</v>
      </c>
      <c r="S21" s="1">
        <f t="shared" si="4"/>
        <v>325707076</v>
      </c>
    </row>
    <row r="22" spans="2:19" ht="12.75">
      <c r="B22" s="8" t="s">
        <v>12</v>
      </c>
      <c r="C22" s="27">
        <v>110101122</v>
      </c>
      <c r="D22" s="74">
        <v>75416000</v>
      </c>
      <c r="E22" s="11">
        <v>10617000</v>
      </c>
      <c r="F22" s="1">
        <f t="shared" si="1"/>
        <v>196134122</v>
      </c>
      <c r="I22" s="1">
        <f>'(B) Base Bud Adj'!Y21</f>
        <v>1158060</v>
      </c>
      <c r="K22" s="1">
        <f>'(C) 10-11 Expenditure Increases'!T21</f>
        <v>12953010</v>
      </c>
      <c r="M22" s="1">
        <f>'(E) SUF Revenue-326,290'!W21</f>
        <v>4193000</v>
      </c>
      <c r="P22" s="1">
        <f t="shared" si="2"/>
        <v>124212192</v>
      </c>
      <c r="Q22" s="1">
        <f t="shared" si="0"/>
        <v>79609000</v>
      </c>
      <c r="R22" s="1">
        <f t="shared" si="3"/>
        <v>10617000</v>
      </c>
      <c r="S22" s="1">
        <f t="shared" si="4"/>
        <v>214438192</v>
      </c>
    </row>
    <row r="23" spans="2:19" ht="12.75">
      <c r="B23" s="8" t="s">
        <v>13</v>
      </c>
      <c r="C23" s="27">
        <v>126087817</v>
      </c>
      <c r="D23" s="74">
        <v>103083000</v>
      </c>
      <c r="E23" s="11">
        <v>14624000</v>
      </c>
      <c r="F23" s="1">
        <f t="shared" si="1"/>
        <v>243794817</v>
      </c>
      <c r="I23" s="1">
        <f>'(B) Base Bud Adj'!Y22</f>
        <v>-2461070</v>
      </c>
      <c r="K23" s="1">
        <f>'(C) 10-11 Expenditure Increases'!T22</f>
        <v>17169070</v>
      </c>
      <c r="M23" s="1">
        <f>'(E) SUF Revenue-326,290'!W22</f>
        <v>561000</v>
      </c>
      <c r="P23" s="1">
        <f t="shared" si="2"/>
        <v>140795817</v>
      </c>
      <c r="Q23" s="1">
        <f t="shared" si="0"/>
        <v>103644000</v>
      </c>
      <c r="R23" s="1">
        <f t="shared" si="3"/>
        <v>14624000</v>
      </c>
      <c r="S23" s="1">
        <f t="shared" si="4"/>
        <v>259063817</v>
      </c>
    </row>
    <row r="24" spans="2:19" ht="12.75">
      <c r="B24" s="8" t="s">
        <v>14</v>
      </c>
      <c r="C24" s="27">
        <v>83133458</v>
      </c>
      <c r="D24" s="74">
        <v>66950000</v>
      </c>
      <c r="E24" s="11">
        <v>10780000</v>
      </c>
      <c r="F24" s="1">
        <f t="shared" si="1"/>
        <v>160863458</v>
      </c>
      <c r="I24" s="1">
        <f>'(B) Base Bud Adj'!Y23</f>
        <v>641990</v>
      </c>
      <c r="K24" s="1">
        <f>'(C) 10-11 Expenditure Increases'!T23</f>
        <v>10278050</v>
      </c>
      <c r="M24" s="1">
        <f>'(E) SUF Revenue-326,290'!W23</f>
        <v>3768000</v>
      </c>
      <c r="P24" s="1">
        <f t="shared" si="2"/>
        <v>94053498</v>
      </c>
      <c r="Q24" s="1">
        <f t="shared" si="0"/>
        <v>70718000</v>
      </c>
      <c r="R24" s="1">
        <f t="shared" si="3"/>
        <v>10780000</v>
      </c>
      <c r="S24" s="1">
        <f t="shared" si="4"/>
        <v>175551498</v>
      </c>
    </row>
    <row r="25" spans="2:19" ht="12.75">
      <c r="B25" s="8" t="s">
        <v>15</v>
      </c>
      <c r="C25" s="27">
        <v>166107116</v>
      </c>
      <c r="D25" s="74">
        <v>127796000</v>
      </c>
      <c r="E25" s="11">
        <v>30932000</v>
      </c>
      <c r="F25" s="1">
        <f t="shared" si="1"/>
        <v>324835116</v>
      </c>
      <c r="I25" s="1">
        <f>'(B) Base Bud Adj'!Y24</f>
        <v>-2257430</v>
      </c>
      <c r="K25" s="1">
        <f>'(C) 10-11 Expenditure Increases'!T24</f>
        <v>22099990</v>
      </c>
      <c r="M25" s="1">
        <f>'(E) SUF Revenue-326,290'!W24</f>
        <v>6217000</v>
      </c>
      <c r="P25" s="1">
        <f t="shared" si="2"/>
        <v>185949676</v>
      </c>
      <c r="Q25" s="1">
        <f t="shared" si="0"/>
        <v>134013000</v>
      </c>
      <c r="R25" s="1">
        <f t="shared" si="3"/>
        <v>30932000</v>
      </c>
      <c r="S25" s="1">
        <f t="shared" si="4"/>
        <v>350894676</v>
      </c>
    </row>
    <row r="26" spans="2:19" ht="12.75">
      <c r="B26" s="8" t="s">
        <v>16</v>
      </c>
      <c r="C26" s="27">
        <v>128676149</v>
      </c>
      <c r="D26" s="74">
        <v>113220000</v>
      </c>
      <c r="E26" s="11">
        <v>28331000</v>
      </c>
      <c r="F26" s="1">
        <f t="shared" si="1"/>
        <v>270227149</v>
      </c>
      <c r="I26" s="1">
        <f>'(B) Base Bud Adj'!Y25</f>
        <v>-2724010</v>
      </c>
      <c r="K26" s="1">
        <f>'(C) 10-11 Expenditure Increases'!T25</f>
        <v>17911650</v>
      </c>
      <c r="M26" s="1">
        <f>'(E) SUF Revenue-326,290'!W25</f>
        <v>6594000</v>
      </c>
      <c r="P26" s="1">
        <f t="shared" si="2"/>
        <v>143863789</v>
      </c>
      <c r="Q26" s="1">
        <f t="shared" si="0"/>
        <v>119814000</v>
      </c>
      <c r="R26" s="1">
        <f t="shared" si="3"/>
        <v>28331000</v>
      </c>
      <c r="S26" s="1">
        <f t="shared" si="4"/>
        <v>292008789</v>
      </c>
    </row>
    <row r="27" spans="2:19" ht="12.75">
      <c r="B27" s="8" t="s">
        <v>17</v>
      </c>
      <c r="C27" s="27">
        <v>125111472</v>
      </c>
      <c r="D27" s="74">
        <v>116660000</v>
      </c>
      <c r="E27" s="11">
        <v>23868000</v>
      </c>
      <c r="F27" s="1">
        <f t="shared" si="1"/>
        <v>265639472</v>
      </c>
      <c r="I27" s="1">
        <f>'(B) Base Bud Adj'!Y26</f>
        <v>-2035940</v>
      </c>
      <c r="K27" s="1">
        <f>'(C) 10-11 Expenditure Increases'!T26</f>
        <v>17438290</v>
      </c>
      <c r="M27" s="1">
        <f>'(E) SUF Revenue-326,290'!W26</f>
        <v>3153000</v>
      </c>
      <c r="P27" s="1">
        <f t="shared" si="2"/>
        <v>140513822</v>
      </c>
      <c r="Q27" s="1">
        <f t="shared" si="0"/>
        <v>119813000</v>
      </c>
      <c r="R27" s="1">
        <f t="shared" si="3"/>
        <v>23868000</v>
      </c>
      <c r="S27" s="1">
        <f t="shared" si="4"/>
        <v>284194822</v>
      </c>
    </row>
    <row r="28" spans="2:19" ht="12.75">
      <c r="B28" s="8" t="s">
        <v>18</v>
      </c>
      <c r="C28" s="27">
        <v>110289288</v>
      </c>
      <c r="D28" s="74">
        <v>73930000</v>
      </c>
      <c r="E28" s="11">
        <v>29945000</v>
      </c>
      <c r="F28" s="1">
        <f t="shared" si="1"/>
        <v>214164288</v>
      </c>
      <c r="I28" s="1">
        <f>'(B) Base Bud Adj'!Y27</f>
        <v>1527320</v>
      </c>
      <c r="K28" s="1">
        <f>'(C) 10-11 Expenditure Increases'!T27</f>
        <v>13038590</v>
      </c>
      <c r="M28" s="1">
        <f>'(E) SUF Revenue-326,290'!W27</f>
        <v>1793000</v>
      </c>
      <c r="P28" s="1">
        <f t="shared" si="2"/>
        <v>124855198</v>
      </c>
      <c r="Q28" s="1">
        <f t="shared" si="0"/>
        <v>75723000</v>
      </c>
      <c r="R28" s="1">
        <f t="shared" si="3"/>
        <v>29945000</v>
      </c>
      <c r="S28" s="1">
        <f t="shared" si="4"/>
        <v>230523198</v>
      </c>
    </row>
    <row r="29" spans="2:19" ht="12.75">
      <c r="B29" s="8" t="s">
        <v>19</v>
      </c>
      <c r="C29" s="27">
        <v>53536642</v>
      </c>
      <c r="D29" s="74">
        <v>33333000</v>
      </c>
      <c r="E29" s="11">
        <v>4670000</v>
      </c>
      <c r="F29" s="1">
        <f t="shared" si="1"/>
        <v>91539642</v>
      </c>
      <c r="I29" s="1">
        <f>'(B) Base Bud Adj'!Y28</f>
        <v>1328120</v>
      </c>
      <c r="K29" s="1">
        <f>'(C) 10-11 Expenditure Increases'!T28</f>
        <v>5333780</v>
      </c>
      <c r="M29" s="1">
        <f>'(E) SUF Revenue-326,290'!W28</f>
        <v>2585000</v>
      </c>
      <c r="P29" s="1">
        <f t="shared" si="2"/>
        <v>60198542</v>
      </c>
      <c r="Q29" s="1">
        <f t="shared" si="0"/>
        <v>35918000</v>
      </c>
      <c r="R29" s="1">
        <f t="shared" si="3"/>
        <v>4670000</v>
      </c>
      <c r="S29" s="1">
        <f t="shared" si="4"/>
        <v>100786542</v>
      </c>
    </row>
    <row r="30" spans="2:19" ht="12.75">
      <c r="B30" s="8" t="s">
        <v>20</v>
      </c>
      <c r="C30" s="27">
        <v>51085673</v>
      </c>
      <c r="D30" s="74">
        <v>30537000</v>
      </c>
      <c r="E30" s="11">
        <v>4051000</v>
      </c>
      <c r="F30" s="1">
        <f t="shared" si="1"/>
        <v>85673673</v>
      </c>
      <c r="I30" s="1">
        <f>'(B) Base Bud Adj'!Y29</f>
        <v>751230</v>
      </c>
      <c r="K30" s="1">
        <f>'(C) 10-11 Expenditure Increases'!T29</f>
        <v>4300820</v>
      </c>
      <c r="M30" s="1">
        <f>'(E) SUF Revenue-326,290'!W29</f>
        <v>1289000</v>
      </c>
      <c r="P30" s="1">
        <f t="shared" si="2"/>
        <v>56137723</v>
      </c>
      <c r="Q30" s="1">
        <f t="shared" si="0"/>
        <v>31826000</v>
      </c>
      <c r="R30" s="1">
        <f>E30</f>
        <v>4051000</v>
      </c>
      <c r="S30" s="1">
        <f t="shared" si="4"/>
        <v>92014723</v>
      </c>
    </row>
    <row r="31" spans="2:19" ht="12.75">
      <c r="B31" s="8" t="s">
        <v>21</v>
      </c>
      <c r="C31" s="27">
        <v>51346837</v>
      </c>
      <c r="D31" s="74">
        <v>31164000</v>
      </c>
      <c r="E31" s="11">
        <v>3567000</v>
      </c>
      <c r="F31" s="1">
        <f t="shared" si="1"/>
        <v>86077837</v>
      </c>
      <c r="I31" s="1">
        <f>'(B) Base Bud Adj'!Y30</f>
        <v>1041570</v>
      </c>
      <c r="K31" s="1">
        <f>'(C) 10-11 Expenditure Increases'!T30</f>
        <v>4125930</v>
      </c>
      <c r="M31" s="1">
        <f>'(E) SUF Revenue-326,290'!W30</f>
        <v>1825000</v>
      </c>
      <c r="P31" s="1">
        <f t="shared" si="2"/>
        <v>56514337</v>
      </c>
      <c r="Q31" s="1">
        <f t="shared" si="0"/>
        <v>32989000</v>
      </c>
      <c r="R31" s="1">
        <f t="shared" si="3"/>
        <v>3567000</v>
      </c>
      <c r="S31" s="1">
        <f t="shared" si="4"/>
        <v>93070337</v>
      </c>
    </row>
    <row r="32" ht="9" customHeight="1"/>
    <row r="33" spans="2:23" s="7" customFormat="1" ht="15" customHeight="1">
      <c r="B33" s="12" t="s">
        <v>22</v>
      </c>
      <c r="C33" s="12">
        <v>2099050790</v>
      </c>
      <c r="D33" s="12">
        <f>SUM(D9:D32)</f>
        <v>1591097000</v>
      </c>
      <c r="E33" s="12">
        <f>SUM(E9:E31)</f>
        <v>298217000</v>
      </c>
      <c r="F33" s="12">
        <f>SUM(F9:F32)</f>
        <v>3988364790</v>
      </c>
      <c r="G33" s="9"/>
      <c r="H33" s="9"/>
      <c r="I33" s="12">
        <f>SUM(I9:I32)</f>
        <v>2570952.16</v>
      </c>
      <c r="J33" s="12"/>
      <c r="K33" s="12">
        <f>SUM(K9:K32)</f>
        <v>257812600</v>
      </c>
      <c r="L33" s="12"/>
      <c r="M33" s="12">
        <f>SUM(M9:M32)</f>
        <v>70975000</v>
      </c>
      <c r="N33" s="12"/>
      <c r="O33" s="9"/>
      <c r="P33" s="12">
        <f>SUM(P9:P32)</f>
        <v>2359434342.16</v>
      </c>
      <c r="Q33" s="12">
        <f>SUM(Q9:Q32)</f>
        <v>1662072000</v>
      </c>
      <c r="R33" s="12">
        <f>SUM(R9:R32)</f>
        <v>298217000</v>
      </c>
      <c r="S33" s="12">
        <f>SUM(S9:S32)</f>
        <v>4319723342.16</v>
      </c>
      <c r="U33" s="1"/>
      <c r="V33" s="1"/>
      <c r="W33" s="1"/>
    </row>
    <row r="34" ht="9" customHeight="1"/>
    <row r="35" spans="2:19" ht="12.75" customHeight="1">
      <c r="B35" s="1" t="s">
        <v>23</v>
      </c>
      <c r="C35" s="1">
        <v>67011227</v>
      </c>
      <c r="D35" s="1">
        <v>0</v>
      </c>
      <c r="E35" s="1">
        <v>0</v>
      </c>
      <c r="F35" s="1">
        <f>SUM(C35:E35)</f>
        <v>67011227</v>
      </c>
      <c r="I35" s="1">
        <f>'(B) Base Bud Adj'!Y34</f>
        <v>5921945</v>
      </c>
      <c r="K35" s="1">
        <f>'(C) 10-11 Expenditure Increases'!T34</f>
        <v>1533500</v>
      </c>
      <c r="M35" s="1">
        <f>'(E) SUF Revenue-326,290'!W34</f>
        <v>0</v>
      </c>
      <c r="P35" s="1">
        <f>C35+I35+K35</f>
        <v>74466672</v>
      </c>
      <c r="Q35" s="1">
        <f>D35+M35</f>
        <v>0</v>
      </c>
      <c r="R35" s="1">
        <f>E35</f>
        <v>0</v>
      </c>
      <c r="S35" s="1">
        <f>SUM(P35:R35)</f>
        <v>74466672</v>
      </c>
    </row>
    <row r="36" spans="2:19" ht="12.75" customHeight="1">
      <c r="B36" s="11" t="s">
        <v>32</v>
      </c>
      <c r="C36" s="1">
        <v>1244735</v>
      </c>
      <c r="D36" s="1">
        <v>0</v>
      </c>
      <c r="E36" s="1">
        <v>0</v>
      </c>
      <c r="F36" s="1">
        <f>SUM(C36:E36)</f>
        <v>1244735</v>
      </c>
      <c r="I36" s="1">
        <f>'(B) Base Bud Adj'!Y35</f>
        <v>-181000</v>
      </c>
      <c r="K36" s="1">
        <f>'(C) 10-11 Expenditure Increases'!T35</f>
        <v>0</v>
      </c>
      <c r="M36" s="1">
        <f>'(E) SUF Revenue-326,290'!W35</f>
        <v>516000</v>
      </c>
      <c r="P36" s="1">
        <f>C36+I36+K36</f>
        <v>1063735</v>
      </c>
      <c r="Q36" s="1">
        <f>D36+M36</f>
        <v>516000</v>
      </c>
      <c r="R36" s="1">
        <f>E36</f>
        <v>0</v>
      </c>
      <c r="S36" s="1">
        <f>SUM(P36:R36)</f>
        <v>1579735</v>
      </c>
    </row>
    <row r="37" spans="2:19" ht="12.75" customHeight="1">
      <c r="B37" s="1" t="s">
        <v>24</v>
      </c>
      <c r="C37" s="1">
        <v>2476496</v>
      </c>
      <c r="D37" s="20">
        <v>2324000</v>
      </c>
      <c r="E37" s="1">
        <v>0</v>
      </c>
      <c r="F37" s="1">
        <f>SUM(C37:E37)</f>
        <v>4800496</v>
      </c>
      <c r="I37" s="1">
        <f>'(B) Base Bud Adj'!Y36</f>
        <v>-62000</v>
      </c>
      <c r="K37" s="1">
        <f>'(C) 10-11 Expenditure Increases'!T36</f>
        <v>0</v>
      </c>
      <c r="M37" s="1">
        <f>'(E) SUF Revenue-326,290'!W36</f>
        <v>250000</v>
      </c>
      <c r="P37" s="1">
        <f>C37+I37+K37</f>
        <v>2414496</v>
      </c>
      <c r="Q37" s="1">
        <f>D37+M37</f>
        <v>2574000</v>
      </c>
      <c r="R37" s="1">
        <f>E37</f>
        <v>0</v>
      </c>
      <c r="S37" s="1">
        <f>SUM(P37:R37)</f>
        <v>4988496</v>
      </c>
    </row>
    <row r="38" spans="2:19" ht="12.75" customHeight="1">
      <c r="B38" s="1" t="s">
        <v>25</v>
      </c>
      <c r="C38" s="1">
        <v>98800</v>
      </c>
      <c r="D38" s="1">
        <v>0</v>
      </c>
      <c r="E38" s="1">
        <v>0</v>
      </c>
      <c r="F38" s="1">
        <f>SUM(C38:E38)</f>
        <v>98800</v>
      </c>
      <c r="I38" s="1">
        <f>'(B) Base Bud Adj'!Y37</f>
        <v>-41000</v>
      </c>
      <c r="K38" s="1">
        <f>'(C) 10-11 Expenditure Increases'!T37</f>
        <v>0</v>
      </c>
      <c r="M38" s="1">
        <f>'(E) SUF Revenue-326,290'!W37</f>
        <v>413000</v>
      </c>
      <c r="P38" s="1">
        <f>C38+I38+K38</f>
        <v>57800</v>
      </c>
      <c r="Q38" s="1">
        <f>D38+M38</f>
        <v>413000</v>
      </c>
      <c r="R38" s="1">
        <f>E38</f>
        <v>0</v>
      </c>
      <c r="S38" s="1">
        <f>SUM(P38:R38)</f>
        <v>470800</v>
      </c>
    </row>
    <row r="39" spans="2:19" ht="12.75" customHeight="1">
      <c r="B39" s="1" t="s">
        <v>26</v>
      </c>
      <c r="C39" s="1">
        <v>168069601</v>
      </c>
      <c r="D39" s="1">
        <v>0</v>
      </c>
      <c r="E39" s="1">
        <v>2126000</v>
      </c>
      <c r="F39" s="1">
        <f>SUM(C39:E39)</f>
        <v>170195601</v>
      </c>
      <c r="I39" s="1">
        <f>'(B) Base Bud Adj'!Y38</f>
        <v>11721610</v>
      </c>
      <c r="K39" s="1">
        <f>'(C) 10-11 Expenditure Increases'!T38</f>
        <v>106758769</v>
      </c>
      <c r="M39" s="1">
        <f>'(E) SUF Revenue-326,290'!W38</f>
        <v>0</v>
      </c>
      <c r="O39" s="73"/>
      <c r="P39" s="1">
        <f>C39+I39+K39</f>
        <v>286549980</v>
      </c>
      <c r="Q39" s="1">
        <f>D39+M39</f>
        <v>0</v>
      </c>
      <c r="R39" s="119">
        <v>1000</v>
      </c>
      <c r="S39" s="1">
        <f>SUM(P39:R39)</f>
        <v>286550980</v>
      </c>
    </row>
    <row r="40" ht="9" customHeight="1"/>
    <row r="41" spans="2:19" s="7" customFormat="1" ht="15" customHeight="1" thickBot="1">
      <c r="B41" s="13" t="s">
        <v>27</v>
      </c>
      <c r="C41" s="13">
        <v>2337951649</v>
      </c>
      <c r="D41" s="13">
        <f>SUM(D33:D39)</f>
        <v>1593421000</v>
      </c>
      <c r="E41" s="13">
        <f>SUM(E33:E39)</f>
        <v>300343000</v>
      </c>
      <c r="F41" s="13">
        <f>SUM(F33:F39)</f>
        <v>4231715649</v>
      </c>
      <c r="G41" s="9"/>
      <c r="H41" s="9"/>
      <c r="I41" s="21">
        <f>SUM(I33:I39)</f>
        <v>19930507.16</v>
      </c>
      <c r="J41" s="21"/>
      <c r="K41" s="21">
        <f>SUM(K33:K39)</f>
        <v>366104869</v>
      </c>
      <c r="L41" s="21"/>
      <c r="M41" s="21">
        <f>SUM(M33:M39)</f>
        <v>72154000</v>
      </c>
      <c r="N41" s="21"/>
      <c r="O41" s="9"/>
      <c r="P41" s="13">
        <f>SUM(P33:P39)</f>
        <v>2723987025.16</v>
      </c>
      <c r="Q41" s="13">
        <f>SUM(Q33:Q39)</f>
        <v>1665575000</v>
      </c>
      <c r="R41" s="13">
        <f>SUM(R33:R39)</f>
        <v>298218000</v>
      </c>
      <c r="S41" s="13">
        <f>SUM(S33:S39)</f>
        <v>4687780025.16</v>
      </c>
    </row>
    <row r="43" spans="1:2" ht="18">
      <c r="A43" s="63">
        <v>1</v>
      </c>
      <c r="B43" s="47" t="s">
        <v>115</v>
      </c>
    </row>
    <row r="44" spans="1:19" ht="18">
      <c r="A44" s="63"/>
      <c r="B44" s="31"/>
      <c r="C44" s="29"/>
      <c r="D44" s="29"/>
      <c r="E44" s="29"/>
      <c r="F44" s="29"/>
      <c r="G44" s="64"/>
      <c r="H44" s="64"/>
      <c r="I44" s="65"/>
      <c r="J44" s="65"/>
      <c r="K44" s="65"/>
      <c r="L44" s="65"/>
      <c r="M44" s="65"/>
      <c r="N44" s="65"/>
      <c r="O44" s="64"/>
      <c r="P44" s="29"/>
      <c r="Q44" s="29"/>
      <c r="R44" s="29"/>
      <c r="S44" s="29"/>
    </row>
    <row r="45" spans="3:19" ht="18" customHeight="1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50" ht="12.75">
      <c r="P50" s="82"/>
    </row>
  </sheetData>
  <sheetProtection/>
  <mergeCells count="4">
    <mergeCell ref="C4:F4"/>
    <mergeCell ref="P4:S4"/>
    <mergeCell ref="H4:N4"/>
    <mergeCell ref="I5:K5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9" sqref="V39"/>
    </sheetView>
  </sheetViews>
  <sheetFormatPr defaultColWidth="9.33203125" defaultRowHeight="12.75"/>
  <cols>
    <col min="1" max="1" width="24.5" style="1" customWidth="1"/>
    <col min="2" max="2" width="16.5" style="1" bestFit="1" customWidth="1"/>
    <col min="3" max="3" width="1.83203125" style="1" customWidth="1"/>
    <col min="4" max="4" width="13.33203125" style="23" bestFit="1" customWidth="1"/>
    <col min="5" max="5" width="1.83203125" style="23" customWidth="1"/>
    <col min="6" max="6" width="17.83203125" style="23" customWidth="1"/>
    <col min="7" max="7" width="1.83203125" style="23" customWidth="1"/>
    <col min="8" max="8" width="16.5" style="23" customWidth="1"/>
    <col min="9" max="9" width="1.83203125" style="23" customWidth="1"/>
    <col min="10" max="10" width="16.5" style="23" customWidth="1"/>
    <col min="11" max="11" width="1.83203125" style="23" customWidth="1"/>
    <col min="12" max="12" width="16.5" style="23" customWidth="1"/>
    <col min="13" max="13" width="2.33203125" style="23" customWidth="1"/>
    <col min="14" max="14" width="16.5" style="23" bestFit="1" customWidth="1"/>
    <col min="15" max="15" width="2.33203125" style="23" customWidth="1"/>
    <col min="16" max="16" width="13.5" style="23" customWidth="1"/>
    <col min="17" max="17" width="2.33203125" style="23" customWidth="1"/>
    <col min="18" max="18" width="13.33203125" style="23" bestFit="1" customWidth="1"/>
    <col min="19" max="19" width="2.16015625" style="23" customWidth="1"/>
    <col min="20" max="20" width="16.66015625" style="23" bestFit="1" customWidth="1"/>
    <col min="21" max="21" width="2.33203125" style="23" customWidth="1"/>
    <col min="22" max="22" width="15.66015625" style="23" bestFit="1" customWidth="1"/>
    <col min="23" max="23" width="2.33203125" style="23" customWidth="1"/>
    <col min="24" max="24" width="1.83203125" style="23" customWidth="1"/>
    <col min="25" max="25" width="17.16015625" style="1" bestFit="1" customWidth="1"/>
    <col min="26" max="26" width="1.83203125" style="1" customWidth="1"/>
    <col min="27" max="27" width="18.83203125" style="1" bestFit="1" customWidth="1"/>
    <col min="28" max="28" width="4.33203125" style="1" customWidth="1"/>
    <col min="29" max="29" width="14.5" style="8" bestFit="1" customWidth="1"/>
    <col min="30" max="16384" width="9.33203125" style="1" customWidth="1"/>
  </cols>
  <sheetData>
    <row r="1" spans="1:24" ht="16.5">
      <c r="A1" s="61" t="s">
        <v>203</v>
      </c>
      <c r="B1" s="2"/>
      <c r="C1" s="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77"/>
    </row>
    <row r="2" spans="1:24" ht="15.75">
      <c r="A2" s="116"/>
      <c r="B2" s="2"/>
      <c r="C2" s="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7"/>
      <c r="W2" s="22"/>
      <c r="X2" s="77"/>
    </row>
    <row r="3" spans="2:29" s="66" customFormat="1" ht="14.25">
      <c r="B3" s="67">
        <f>-1</f>
        <v>-1</v>
      </c>
      <c r="D3" s="67">
        <v>-2</v>
      </c>
      <c r="E3" s="67"/>
      <c r="F3" s="67">
        <v>-3</v>
      </c>
      <c r="G3" s="67"/>
      <c r="H3" s="104">
        <f>-4</f>
        <v>-4</v>
      </c>
      <c r="I3" s="104"/>
      <c r="J3" s="105">
        <f>-5</f>
        <v>-5</v>
      </c>
      <c r="K3" s="67"/>
      <c r="L3" s="68">
        <v>-6</v>
      </c>
      <c r="N3" s="67">
        <f>-7</f>
        <v>-7</v>
      </c>
      <c r="O3" s="67"/>
      <c r="P3" s="105"/>
      <c r="Q3" s="67"/>
      <c r="R3" s="67">
        <v>-8</v>
      </c>
      <c r="S3" s="67"/>
      <c r="T3" s="67">
        <v>-9</v>
      </c>
      <c r="U3" s="67"/>
      <c r="V3" s="67">
        <v>-10</v>
      </c>
      <c r="W3" s="67"/>
      <c r="X3" s="67"/>
      <c r="Y3" s="67">
        <v>-11</v>
      </c>
      <c r="Z3" s="67"/>
      <c r="AA3" s="67">
        <v>-12</v>
      </c>
      <c r="AC3" s="79"/>
    </row>
    <row r="4" spans="2:29" s="24" customFormat="1" ht="6" customHeight="1">
      <c r="B4" s="30"/>
      <c r="D4" s="30"/>
      <c r="E4" s="30"/>
      <c r="F4" s="30"/>
      <c r="G4" s="30"/>
      <c r="H4" s="106"/>
      <c r="I4" s="106"/>
      <c r="J4" s="106"/>
      <c r="K4" s="25"/>
      <c r="L4" s="25"/>
      <c r="M4" s="30"/>
      <c r="N4" s="30"/>
      <c r="O4" s="30"/>
      <c r="P4" s="526"/>
      <c r="Q4" s="30"/>
      <c r="R4" s="30"/>
      <c r="S4" s="30"/>
      <c r="T4" s="30"/>
      <c r="U4" s="30"/>
      <c r="V4" s="30"/>
      <c r="W4" s="30"/>
      <c r="X4" s="30"/>
      <c r="Y4" s="78"/>
      <c r="AA4" s="25"/>
      <c r="AC4" s="78"/>
    </row>
    <row r="5" spans="1:29" s="15" customFormat="1" ht="76.5">
      <c r="A5" s="35"/>
      <c r="B5" s="26" t="s">
        <v>46</v>
      </c>
      <c r="C5" s="35"/>
      <c r="D5" s="26" t="s">
        <v>45</v>
      </c>
      <c r="E5" s="35"/>
      <c r="F5" s="36" t="s">
        <v>33</v>
      </c>
      <c r="G5" s="41"/>
      <c r="H5" s="107" t="s">
        <v>56</v>
      </c>
      <c r="I5" s="107"/>
      <c r="J5" s="107" t="s">
        <v>57</v>
      </c>
      <c r="K5" s="26"/>
      <c r="L5" s="183" t="s">
        <v>49</v>
      </c>
      <c r="M5" s="32"/>
      <c r="N5" s="36" t="s">
        <v>54</v>
      </c>
      <c r="O5" s="41"/>
      <c r="P5" s="527" t="s">
        <v>212</v>
      </c>
      <c r="Q5" s="41"/>
      <c r="R5" s="26" t="s">
        <v>51</v>
      </c>
      <c r="S5" s="32">
        <v>1</v>
      </c>
      <c r="T5" s="183" t="s">
        <v>144</v>
      </c>
      <c r="U5" s="26"/>
      <c r="V5" s="183" t="s">
        <v>145</v>
      </c>
      <c r="X5" s="69"/>
      <c r="Y5" s="100" t="s">
        <v>204</v>
      </c>
      <c r="Z5" s="35"/>
      <c r="AA5" s="100" t="s">
        <v>50</v>
      </c>
      <c r="AC5" s="35"/>
    </row>
    <row r="6" spans="1:27" ht="24" customHeight="1">
      <c r="A6" s="37"/>
      <c r="B6" s="37"/>
      <c r="C6" s="37"/>
      <c r="D6" s="38"/>
      <c r="E6" s="38"/>
      <c r="F6" s="33" t="s">
        <v>55</v>
      </c>
      <c r="G6" s="39"/>
      <c r="H6" s="108"/>
      <c r="I6" s="108"/>
      <c r="J6" s="108"/>
      <c r="K6" s="39"/>
      <c r="L6" s="39" t="s">
        <v>116</v>
      </c>
      <c r="M6" s="39"/>
      <c r="N6" s="33" t="s">
        <v>47</v>
      </c>
      <c r="O6" s="39"/>
      <c r="P6" s="108"/>
      <c r="Q6" s="39"/>
      <c r="R6" s="38"/>
      <c r="S6" s="38"/>
      <c r="T6" s="18" t="s">
        <v>216</v>
      </c>
      <c r="U6" s="38"/>
      <c r="V6" s="18" t="s">
        <v>215</v>
      </c>
      <c r="W6" s="39"/>
      <c r="X6" s="99"/>
      <c r="Y6" s="33" t="s">
        <v>111</v>
      </c>
      <c r="Z6" s="37"/>
      <c r="AA6" s="33" t="s">
        <v>112</v>
      </c>
    </row>
    <row r="7" spans="1:27" ht="8.25" customHeight="1">
      <c r="A7" s="37"/>
      <c r="B7" s="37"/>
      <c r="C7" s="37"/>
      <c r="D7" s="38"/>
      <c r="E7" s="38"/>
      <c r="F7" s="33"/>
      <c r="G7" s="39"/>
      <c r="H7" s="108"/>
      <c r="I7" s="108"/>
      <c r="J7" s="108"/>
      <c r="K7" s="39"/>
      <c r="L7" s="39"/>
      <c r="M7" s="39"/>
      <c r="N7" s="33"/>
      <c r="O7" s="39"/>
      <c r="P7" s="108"/>
      <c r="Q7" s="39"/>
      <c r="R7" s="38"/>
      <c r="S7" s="38"/>
      <c r="T7" s="38"/>
      <c r="U7" s="38"/>
      <c r="V7" s="38"/>
      <c r="W7" s="39"/>
      <c r="X7" s="99"/>
      <c r="Y7" s="40"/>
      <c r="Z7" s="37"/>
      <c r="AA7" s="40"/>
    </row>
    <row r="8" spans="1:27" s="56" customFormat="1" ht="15">
      <c r="A8" s="56" t="s">
        <v>0</v>
      </c>
      <c r="B8" s="51">
        <v>49859822</v>
      </c>
      <c r="C8" s="51"/>
      <c r="D8" s="49">
        <v>135510</v>
      </c>
      <c r="E8" s="51"/>
      <c r="F8" s="57">
        <f aca="true" t="shared" si="0" ref="F8:F30">B8+D8</f>
        <v>49995332</v>
      </c>
      <c r="G8" s="49"/>
      <c r="H8" s="109">
        <v>-10788900</v>
      </c>
      <c r="I8" s="109"/>
      <c r="J8" s="109">
        <v>-9832500</v>
      </c>
      <c r="K8" s="49"/>
      <c r="L8" s="49">
        <f>J8-H8</f>
        <v>956400</v>
      </c>
      <c r="M8" s="49"/>
      <c r="N8" s="57">
        <f>F8+L8</f>
        <v>50951732</v>
      </c>
      <c r="O8" s="49"/>
      <c r="P8" s="109">
        <v>764000</v>
      </c>
      <c r="Q8" s="49"/>
      <c r="R8" s="56">
        <v>74917</v>
      </c>
      <c r="T8" s="56">
        <f>'(E) SUF Revenue-326,290'!X8</f>
        <v>-714000</v>
      </c>
      <c r="V8" s="56">
        <f>'(F) SUG'!L8+'(F) SUG'!N8</f>
        <v>884900</v>
      </c>
      <c r="W8" s="49"/>
      <c r="X8" s="49"/>
      <c r="Y8" s="70">
        <f>D8+L8+R8+T8+V8</f>
        <v>1337727</v>
      </c>
      <c r="Z8" s="51"/>
      <c r="AA8" s="57">
        <f aca="true" t="shared" si="1" ref="AA8:AA30">B8+Y8</f>
        <v>51197549</v>
      </c>
    </row>
    <row r="9" spans="1:27" s="31" customFormat="1" ht="15">
      <c r="A9" s="31" t="s">
        <v>1</v>
      </c>
      <c r="B9" s="47">
        <v>38120853</v>
      </c>
      <c r="C9" s="47"/>
      <c r="D9" s="76">
        <v>101947</v>
      </c>
      <c r="E9" s="47"/>
      <c r="F9" s="58">
        <f t="shared" si="0"/>
        <v>38222800</v>
      </c>
      <c r="G9" s="50"/>
      <c r="H9" s="110">
        <v>-4450200</v>
      </c>
      <c r="I9" s="110"/>
      <c r="J9" s="110">
        <v>-1955800</v>
      </c>
      <c r="K9" s="50"/>
      <c r="L9" s="50">
        <f>J9-H9</f>
        <v>2494400</v>
      </c>
      <c r="M9" s="50"/>
      <c r="N9" s="58">
        <f>F9+L9</f>
        <v>40717200</v>
      </c>
      <c r="O9" s="50"/>
      <c r="P9" s="110">
        <v>401000</v>
      </c>
      <c r="Q9" s="50"/>
      <c r="T9" s="31">
        <f>'(E) SUF Revenue-326,290'!X9</f>
        <v>-956000</v>
      </c>
      <c r="V9" s="31">
        <f>'(F) SUG'!L9+'(F) SUG'!N9</f>
        <v>530600</v>
      </c>
      <c r="W9" s="50"/>
      <c r="X9" s="50"/>
      <c r="Y9" s="71">
        <f>D9+L9+R9+T9+V9</f>
        <v>2170947</v>
      </c>
      <c r="Z9" s="47"/>
      <c r="AA9" s="58">
        <f t="shared" si="1"/>
        <v>40291800</v>
      </c>
    </row>
    <row r="10" spans="1:27" s="31" customFormat="1" ht="15">
      <c r="A10" s="31" t="s">
        <v>2</v>
      </c>
      <c r="B10" s="47">
        <v>90188102</v>
      </c>
      <c r="C10" s="47"/>
      <c r="D10" s="76">
        <v>296290</v>
      </c>
      <c r="E10" s="47"/>
      <c r="F10" s="58">
        <f>B10+D10</f>
        <v>90484392</v>
      </c>
      <c r="G10" s="50"/>
      <c r="H10" s="110">
        <v>-25568800</v>
      </c>
      <c r="I10" s="110"/>
      <c r="J10" s="110">
        <v>-24790000</v>
      </c>
      <c r="K10" s="50"/>
      <c r="L10" s="50">
        <f aca="true" t="shared" si="2" ref="L10:L30">J10-H10</f>
        <v>778800</v>
      </c>
      <c r="M10" s="50"/>
      <c r="N10" s="58">
        <f aca="true" t="shared" si="3" ref="N10:N30">F10+L10</f>
        <v>91263192</v>
      </c>
      <c r="O10" s="50"/>
      <c r="P10" s="110">
        <v>1244000</v>
      </c>
      <c r="Q10" s="50"/>
      <c r="T10" s="31">
        <f>'(E) SUF Revenue-326,290'!X10</f>
        <v>-1172000</v>
      </c>
      <c r="V10" s="31">
        <f>'(F) SUG'!L10+'(F) SUG'!N10</f>
        <v>1276300</v>
      </c>
      <c r="W10" s="50"/>
      <c r="X10" s="50"/>
      <c r="Y10" s="71">
        <f aca="true" t="shared" si="4" ref="Y10:Y30">D10+L10+R10+T10+V10</f>
        <v>1179390</v>
      </c>
      <c r="Z10" s="47"/>
      <c r="AA10" s="58">
        <f t="shared" si="1"/>
        <v>91367492</v>
      </c>
    </row>
    <row r="11" spans="1:27" s="31" customFormat="1" ht="15">
      <c r="A11" s="31" t="s">
        <v>3</v>
      </c>
      <c r="B11" s="47">
        <v>61273282</v>
      </c>
      <c r="C11" s="47"/>
      <c r="D11" s="76">
        <v>177050</v>
      </c>
      <c r="E11" s="47"/>
      <c r="F11" s="58">
        <f t="shared" si="0"/>
        <v>61450332</v>
      </c>
      <c r="G11" s="50"/>
      <c r="H11" s="110">
        <v>-13035000</v>
      </c>
      <c r="I11" s="110"/>
      <c r="J11" s="110">
        <v>-12678100</v>
      </c>
      <c r="K11" s="50"/>
      <c r="L11" s="50">
        <f t="shared" si="2"/>
        <v>356900</v>
      </c>
      <c r="M11" s="50"/>
      <c r="N11" s="58">
        <f t="shared" si="3"/>
        <v>61807232</v>
      </c>
      <c r="O11" s="50"/>
      <c r="P11" s="110">
        <v>5337000</v>
      </c>
      <c r="Q11" s="50"/>
      <c r="T11" s="31">
        <f>'(E) SUF Revenue-326,290'!X11</f>
        <v>-1299000</v>
      </c>
      <c r="V11" s="31">
        <f>'(F) SUG'!L11+'(F) SUG'!N11</f>
        <v>1265000</v>
      </c>
      <c r="W11" s="50"/>
      <c r="X11" s="50"/>
      <c r="Y11" s="71">
        <f t="shared" si="4"/>
        <v>499950</v>
      </c>
      <c r="Z11" s="47"/>
      <c r="AA11" s="58">
        <f t="shared" si="1"/>
        <v>61773232</v>
      </c>
    </row>
    <row r="12" spans="1:27" s="31" customFormat="1" ht="15">
      <c r="A12" s="31" t="s">
        <v>29</v>
      </c>
      <c r="B12" s="47">
        <v>67857621</v>
      </c>
      <c r="C12" s="47"/>
      <c r="D12" s="76">
        <v>261790</v>
      </c>
      <c r="E12" s="47"/>
      <c r="F12" s="58">
        <f t="shared" si="0"/>
        <v>68119411</v>
      </c>
      <c r="G12" s="50"/>
      <c r="H12" s="110">
        <v>-19623100</v>
      </c>
      <c r="I12" s="110"/>
      <c r="J12" s="110">
        <v>-19562000</v>
      </c>
      <c r="K12" s="50"/>
      <c r="L12" s="50">
        <f t="shared" si="2"/>
        <v>61100</v>
      </c>
      <c r="M12" s="50"/>
      <c r="N12" s="58">
        <f t="shared" si="3"/>
        <v>68180511</v>
      </c>
      <c r="O12" s="50"/>
      <c r="P12" s="110">
        <v>1922000</v>
      </c>
      <c r="Q12" s="50"/>
      <c r="T12" s="31">
        <f>'(E) SUF Revenue-326,290'!X12</f>
        <v>-1444000</v>
      </c>
      <c r="V12" s="31">
        <f>'(F) SUG'!L12+'(F) SUG'!N12</f>
        <v>1437400</v>
      </c>
      <c r="W12" s="50"/>
      <c r="X12" s="50"/>
      <c r="Y12" s="71">
        <f t="shared" si="4"/>
        <v>316290</v>
      </c>
      <c r="Z12" s="47"/>
      <c r="AA12" s="58">
        <f t="shared" si="1"/>
        <v>68173911</v>
      </c>
    </row>
    <row r="13" spans="1:27" s="31" customFormat="1" ht="15">
      <c r="A13" s="31" t="s">
        <v>4</v>
      </c>
      <c r="B13" s="47">
        <v>118055402</v>
      </c>
      <c r="C13" s="47"/>
      <c r="D13" s="76">
        <v>366250</v>
      </c>
      <c r="E13" s="47"/>
      <c r="F13" s="58">
        <f t="shared" si="0"/>
        <v>118421652</v>
      </c>
      <c r="G13" s="50"/>
      <c r="H13" s="110">
        <v>-32636200</v>
      </c>
      <c r="I13" s="110"/>
      <c r="J13" s="110">
        <v>-31018600</v>
      </c>
      <c r="K13" s="50"/>
      <c r="L13" s="50">
        <f t="shared" si="2"/>
        <v>1617600</v>
      </c>
      <c r="M13" s="50"/>
      <c r="N13" s="58">
        <f t="shared" si="3"/>
        <v>120039252</v>
      </c>
      <c r="O13" s="50"/>
      <c r="P13" s="110"/>
      <c r="Q13" s="50"/>
      <c r="T13" s="31">
        <f>'(E) SUF Revenue-326,290'!X13</f>
        <v>-1572000</v>
      </c>
      <c r="V13" s="31">
        <f>'(F) SUG'!L13+'(F) SUG'!N13</f>
        <v>2073700</v>
      </c>
      <c r="W13" s="50"/>
      <c r="X13" s="50"/>
      <c r="Y13" s="71">
        <f t="shared" si="4"/>
        <v>2485550</v>
      </c>
      <c r="Z13" s="47"/>
      <c r="AA13" s="58">
        <f t="shared" si="1"/>
        <v>120540952</v>
      </c>
    </row>
    <row r="14" spans="1:27" s="31" customFormat="1" ht="15">
      <c r="A14" s="31" t="s">
        <v>5</v>
      </c>
      <c r="B14" s="47">
        <v>136371537</v>
      </c>
      <c r="C14" s="47"/>
      <c r="D14" s="76">
        <v>484950</v>
      </c>
      <c r="E14" s="47"/>
      <c r="F14" s="58">
        <f t="shared" si="0"/>
        <v>136856487</v>
      </c>
      <c r="G14" s="50"/>
      <c r="H14" s="110">
        <v>-38803800</v>
      </c>
      <c r="I14" s="110"/>
      <c r="J14" s="110">
        <v>-44259700</v>
      </c>
      <c r="K14" s="50"/>
      <c r="L14" s="50">
        <f t="shared" si="2"/>
        <v>-5455900</v>
      </c>
      <c r="M14" s="50"/>
      <c r="N14" s="58">
        <f t="shared" si="3"/>
        <v>131400587</v>
      </c>
      <c r="O14" s="50"/>
      <c r="P14" s="110"/>
      <c r="Q14" s="50"/>
      <c r="T14" s="31">
        <f>'(E) SUF Revenue-326,290'!X14</f>
        <v>-3173000</v>
      </c>
      <c r="V14" s="31">
        <f>'(F) SUG'!L14+'(F) SUG'!N14</f>
        <v>2847200</v>
      </c>
      <c r="W14" s="50"/>
      <c r="X14" s="50"/>
      <c r="Y14" s="71">
        <f t="shared" si="4"/>
        <v>-5296750</v>
      </c>
      <c r="Z14" s="47"/>
      <c r="AA14" s="58">
        <f t="shared" si="1"/>
        <v>131074787</v>
      </c>
    </row>
    <row r="15" spans="1:27" s="31" customFormat="1" ht="15">
      <c r="A15" s="31" t="s">
        <v>6</v>
      </c>
      <c r="B15" s="47">
        <v>62436110</v>
      </c>
      <c r="C15" s="47"/>
      <c r="D15" s="76">
        <v>179590</v>
      </c>
      <c r="E15" s="47"/>
      <c r="F15" s="58">
        <f t="shared" si="0"/>
        <v>62615700</v>
      </c>
      <c r="G15" s="50"/>
      <c r="H15" s="110">
        <v>-12110600</v>
      </c>
      <c r="I15" s="110"/>
      <c r="J15" s="110">
        <v>-9838200</v>
      </c>
      <c r="K15" s="50"/>
      <c r="L15" s="50">
        <f t="shared" si="2"/>
        <v>2272400</v>
      </c>
      <c r="M15" s="50"/>
      <c r="N15" s="58">
        <f t="shared" si="3"/>
        <v>64888100</v>
      </c>
      <c r="O15" s="50"/>
      <c r="P15" s="110"/>
      <c r="Q15" s="50"/>
      <c r="T15" s="31">
        <f>'(E) SUF Revenue-326,290'!X15</f>
        <v>-657000</v>
      </c>
      <c r="V15" s="31">
        <f>'(F) SUG'!L15+'(F) SUG'!N15</f>
        <v>918600</v>
      </c>
      <c r="W15" s="50"/>
      <c r="X15" s="50"/>
      <c r="Y15" s="71">
        <f t="shared" si="4"/>
        <v>2713590</v>
      </c>
      <c r="Z15" s="47"/>
      <c r="AA15" s="58">
        <f t="shared" si="1"/>
        <v>65149700</v>
      </c>
    </row>
    <row r="16" spans="1:27" s="31" customFormat="1" ht="15">
      <c r="A16" s="31" t="s">
        <v>7</v>
      </c>
      <c r="B16" s="47">
        <v>154573278</v>
      </c>
      <c r="C16" s="47"/>
      <c r="D16" s="76">
        <v>611700</v>
      </c>
      <c r="E16" s="47"/>
      <c r="F16" s="58">
        <f t="shared" si="0"/>
        <v>155184978</v>
      </c>
      <c r="G16" s="50"/>
      <c r="H16" s="110">
        <v>-44076600</v>
      </c>
      <c r="I16" s="110"/>
      <c r="J16" s="110">
        <v>-47964000</v>
      </c>
      <c r="K16" s="50"/>
      <c r="L16" s="50">
        <f t="shared" si="2"/>
        <v>-3887400</v>
      </c>
      <c r="M16" s="50"/>
      <c r="N16" s="58">
        <f t="shared" si="3"/>
        <v>151297578</v>
      </c>
      <c r="O16" s="50"/>
      <c r="P16" s="110"/>
      <c r="Q16" s="50"/>
      <c r="R16" s="31">
        <f>5952*1.3925</f>
        <v>8288.16</v>
      </c>
      <c r="T16" s="31">
        <f>'(E) SUF Revenue-326,290'!X16</f>
        <v>-2932000</v>
      </c>
      <c r="V16" s="31">
        <f>'(F) SUG'!L16+'(F) SUG'!N16</f>
        <v>2884100</v>
      </c>
      <c r="W16" s="50"/>
      <c r="X16" s="50"/>
      <c r="Y16" s="71">
        <f t="shared" si="4"/>
        <v>-3315311.84</v>
      </c>
      <c r="Z16" s="47"/>
      <c r="AA16" s="58">
        <f t="shared" si="1"/>
        <v>151257966.16</v>
      </c>
    </row>
    <row r="17" spans="1:27" s="31" customFormat="1" ht="15">
      <c r="A17" s="31" t="s">
        <v>8</v>
      </c>
      <c r="B17" s="47">
        <v>103587079</v>
      </c>
      <c r="C17" s="47"/>
      <c r="D17" s="76">
        <v>344400</v>
      </c>
      <c r="E17" s="47"/>
      <c r="F17" s="58">
        <f t="shared" si="0"/>
        <v>103931479</v>
      </c>
      <c r="G17" s="50"/>
      <c r="H17" s="110">
        <v>-28997500</v>
      </c>
      <c r="I17" s="110"/>
      <c r="J17" s="110">
        <v>-28464700</v>
      </c>
      <c r="K17" s="50"/>
      <c r="L17" s="50">
        <f t="shared" si="2"/>
        <v>532800</v>
      </c>
      <c r="M17" s="50"/>
      <c r="N17" s="58">
        <f t="shared" si="3"/>
        <v>104464279</v>
      </c>
      <c r="O17" s="50"/>
      <c r="P17" s="110"/>
      <c r="Q17" s="50"/>
      <c r="T17" s="31">
        <f>'(E) SUF Revenue-326,290'!X17</f>
        <v>-2257000</v>
      </c>
      <c r="V17" s="31">
        <f>'(F) SUG'!L17+'(F) SUG'!N17</f>
        <v>2576600</v>
      </c>
      <c r="W17" s="50"/>
      <c r="X17" s="50"/>
      <c r="Y17" s="71">
        <f t="shared" si="4"/>
        <v>1196800</v>
      </c>
      <c r="Z17" s="47"/>
      <c r="AA17" s="58">
        <f t="shared" si="1"/>
        <v>104783879</v>
      </c>
    </row>
    <row r="18" spans="1:27" s="31" customFormat="1" ht="15">
      <c r="A18" s="31" t="s">
        <v>9</v>
      </c>
      <c r="B18" s="47">
        <v>16472011</v>
      </c>
      <c r="C18" s="47"/>
      <c r="D18" s="76">
        <v>40810</v>
      </c>
      <c r="E18" s="47"/>
      <c r="F18" s="58">
        <f t="shared" si="0"/>
        <v>16512821</v>
      </c>
      <c r="G18" s="50"/>
      <c r="H18" s="110">
        <v>-1972300</v>
      </c>
      <c r="I18" s="110"/>
      <c r="J18" s="110">
        <v>-738000</v>
      </c>
      <c r="K18" s="50"/>
      <c r="L18" s="50">
        <f t="shared" si="2"/>
        <v>1234300</v>
      </c>
      <c r="M18" s="50"/>
      <c r="N18" s="58">
        <f t="shared" si="3"/>
        <v>17747121</v>
      </c>
      <c r="O18" s="50"/>
      <c r="P18" s="110">
        <v>164000</v>
      </c>
      <c r="Q18" s="50"/>
      <c r="R18" s="31">
        <f>250000</f>
        <v>250000</v>
      </c>
      <c r="T18" s="31">
        <f>'(E) SUF Revenue-326,290'!X18</f>
        <v>-162000</v>
      </c>
      <c r="V18" s="31">
        <f>'(F) SUG'!L18+'(F) SUG'!N18</f>
        <v>275600</v>
      </c>
      <c r="W18" s="50"/>
      <c r="X18" s="50"/>
      <c r="Y18" s="71">
        <f t="shared" si="4"/>
        <v>1638710</v>
      </c>
      <c r="Z18" s="47"/>
      <c r="AA18" s="58">
        <f t="shared" si="1"/>
        <v>18110721</v>
      </c>
    </row>
    <row r="19" spans="1:27" s="31" customFormat="1" ht="15">
      <c r="A19" s="31" t="s">
        <v>10</v>
      </c>
      <c r="B19" s="47">
        <v>46061803</v>
      </c>
      <c r="C19" s="47"/>
      <c r="D19" s="76">
        <v>114420</v>
      </c>
      <c r="E19" s="47"/>
      <c r="F19" s="58">
        <f t="shared" si="0"/>
        <v>46176223</v>
      </c>
      <c r="G19" s="50"/>
      <c r="H19" s="110">
        <v>-5978300</v>
      </c>
      <c r="I19" s="110"/>
      <c r="J19" s="110">
        <v>-3410400</v>
      </c>
      <c r="K19" s="50"/>
      <c r="L19" s="50">
        <f t="shared" si="2"/>
        <v>2567900</v>
      </c>
      <c r="M19" s="50"/>
      <c r="N19" s="58">
        <f t="shared" si="3"/>
        <v>48744123</v>
      </c>
      <c r="O19" s="50"/>
      <c r="P19" s="110">
        <v>1447000</v>
      </c>
      <c r="Q19" s="50"/>
      <c r="T19" s="31">
        <f>'(E) SUF Revenue-326,290'!X19</f>
        <v>-710000</v>
      </c>
      <c r="V19" s="31">
        <f>'(F) SUG'!L19+'(F) SUG'!N19</f>
        <v>491000</v>
      </c>
      <c r="W19" s="50"/>
      <c r="X19" s="50"/>
      <c r="Y19" s="71">
        <f t="shared" si="4"/>
        <v>2463320</v>
      </c>
      <c r="Z19" s="47"/>
      <c r="AA19" s="58">
        <f t="shared" si="1"/>
        <v>48525123</v>
      </c>
    </row>
    <row r="20" spans="1:27" s="31" customFormat="1" ht="15">
      <c r="A20" s="31" t="s">
        <v>11</v>
      </c>
      <c r="B20" s="47">
        <v>148718316</v>
      </c>
      <c r="C20" s="47"/>
      <c r="D20" s="76">
        <v>534000</v>
      </c>
      <c r="E20" s="47"/>
      <c r="F20" s="58">
        <f t="shared" si="0"/>
        <v>149252316</v>
      </c>
      <c r="G20" s="50"/>
      <c r="H20" s="110">
        <v>-42339600</v>
      </c>
      <c r="I20" s="110"/>
      <c r="J20" s="110">
        <v>-45039200</v>
      </c>
      <c r="K20" s="50"/>
      <c r="L20" s="50">
        <f t="shared" si="2"/>
        <v>-2699600</v>
      </c>
      <c r="M20" s="50"/>
      <c r="N20" s="58">
        <f t="shared" si="3"/>
        <v>146552716</v>
      </c>
      <c r="O20" s="50"/>
      <c r="P20" s="110"/>
      <c r="Q20" s="50"/>
      <c r="T20" s="31">
        <f>'(E) SUF Revenue-326,290'!X20</f>
        <v>-2872000</v>
      </c>
      <c r="V20" s="31">
        <f>'(F) SUG'!L20+'(F) SUG'!N20</f>
        <v>3248500</v>
      </c>
      <c r="W20" s="50"/>
      <c r="X20" s="50"/>
      <c r="Y20" s="71">
        <f t="shared" si="4"/>
        <v>-1789100</v>
      </c>
      <c r="Z20" s="47"/>
      <c r="AA20" s="58">
        <f t="shared" si="1"/>
        <v>146929216</v>
      </c>
    </row>
    <row r="21" spans="1:27" s="31" customFormat="1" ht="15">
      <c r="A21" s="31" t="s">
        <v>12</v>
      </c>
      <c r="B21" s="47">
        <v>110101122</v>
      </c>
      <c r="C21" s="47"/>
      <c r="D21" s="76">
        <v>384560</v>
      </c>
      <c r="E21" s="47"/>
      <c r="F21" s="58">
        <f t="shared" si="0"/>
        <v>110485682</v>
      </c>
      <c r="G21" s="50"/>
      <c r="H21" s="110">
        <v>-31279300</v>
      </c>
      <c r="I21" s="110"/>
      <c r="J21" s="110">
        <v>-30258400</v>
      </c>
      <c r="K21" s="50"/>
      <c r="L21" s="50">
        <f t="shared" si="2"/>
        <v>1020900</v>
      </c>
      <c r="M21" s="50"/>
      <c r="N21" s="58">
        <f t="shared" si="3"/>
        <v>111506582</v>
      </c>
      <c r="O21" s="50"/>
      <c r="P21" s="110"/>
      <c r="Q21" s="50"/>
      <c r="T21" s="31">
        <f>'(E) SUF Revenue-326,290'!X21</f>
        <v>-1958000</v>
      </c>
      <c r="V21" s="31">
        <f>'(F) SUG'!L21+'(F) SUG'!N21</f>
        <v>1710600</v>
      </c>
      <c r="W21" s="50"/>
      <c r="X21" s="50"/>
      <c r="Y21" s="71">
        <f t="shared" si="4"/>
        <v>1158060</v>
      </c>
      <c r="Z21" s="47"/>
      <c r="AA21" s="58">
        <f t="shared" si="1"/>
        <v>111259182</v>
      </c>
    </row>
    <row r="22" spans="1:27" s="31" customFormat="1" ht="15">
      <c r="A22" s="31" t="s">
        <v>13</v>
      </c>
      <c r="B22" s="47">
        <v>126087817</v>
      </c>
      <c r="C22" s="47"/>
      <c r="D22" s="76">
        <v>459830</v>
      </c>
      <c r="E22" s="47"/>
      <c r="F22" s="58">
        <f t="shared" si="0"/>
        <v>126547647</v>
      </c>
      <c r="G22" s="50"/>
      <c r="H22" s="110">
        <v>-35313600</v>
      </c>
      <c r="I22" s="110"/>
      <c r="J22" s="110">
        <v>-38596100</v>
      </c>
      <c r="K22" s="50"/>
      <c r="L22" s="50">
        <f t="shared" si="2"/>
        <v>-3282500</v>
      </c>
      <c r="M22" s="50"/>
      <c r="N22" s="58">
        <f t="shared" si="3"/>
        <v>123265147</v>
      </c>
      <c r="O22" s="50"/>
      <c r="P22" s="110"/>
      <c r="Q22" s="50"/>
      <c r="T22" s="31">
        <f>'(E) SUF Revenue-326,290'!X22</f>
        <v>-1982000</v>
      </c>
      <c r="V22" s="31">
        <f>'(F) SUG'!L22+'(F) SUG'!N22</f>
        <v>2343600</v>
      </c>
      <c r="W22" s="50"/>
      <c r="X22" s="50"/>
      <c r="Y22" s="71">
        <f t="shared" si="4"/>
        <v>-2461070</v>
      </c>
      <c r="Z22" s="47"/>
      <c r="AA22" s="58">
        <f t="shared" si="1"/>
        <v>123626747</v>
      </c>
    </row>
    <row r="23" spans="1:27" s="31" customFormat="1" ht="15">
      <c r="A23" s="31" t="s">
        <v>14</v>
      </c>
      <c r="B23" s="47">
        <v>83133458</v>
      </c>
      <c r="C23" s="47"/>
      <c r="D23" s="76">
        <v>262490</v>
      </c>
      <c r="E23" s="47"/>
      <c r="F23" s="58">
        <f t="shared" si="0"/>
        <v>83395948</v>
      </c>
      <c r="G23" s="50"/>
      <c r="H23" s="110">
        <v>-23009600</v>
      </c>
      <c r="I23" s="110"/>
      <c r="J23" s="110">
        <v>-23186400</v>
      </c>
      <c r="K23" s="50"/>
      <c r="L23" s="50">
        <f t="shared" si="2"/>
        <v>-176800</v>
      </c>
      <c r="M23" s="50"/>
      <c r="N23" s="58">
        <f t="shared" si="3"/>
        <v>83219148</v>
      </c>
      <c r="O23" s="50"/>
      <c r="P23" s="110"/>
      <c r="Q23" s="50"/>
      <c r="T23" s="31">
        <f>'(E) SUF Revenue-326,290'!X23</f>
        <v>-1630000</v>
      </c>
      <c r="V23" s="31">
        <f>'(F) SUG'!L23+'(F) SUG'!N23</f>
        <v>2186300</v>
      </c>
      <c r="W23" s="50"/>
      <c r="X23" s="50"/>
      <c r="Y23" s="71">
        <f t="shared" si="4"/>
        <v>641990</v>
      </c>
      <c r="Z23" s="47"/>
      <c r="AA23" s="58">
        <f t="shared" si="1"/>
        <v>83775448</v>
      </c>
    </row>
    <row r="24" spans="1:27" s="31" customFormat="1" ht="15">
      <c r="A24" s="31" t="s">
        <v>15</v>
      </c>
      <c r="B24" s="47">
        <v>166107116</v>
      </c>
      <c r="C24" s="47"/>
      <c r="D24" s="76">
        <v>608770</v>
      </c>
      <c r="E24" s="47"/>
      <c r="F24" s="58">
        <f t="shared" si="0"/>
        <v>166715886</v>
      </c>
      <c r="G24" s="50"/>
      <c r="H24" s="110">
        <v>-47825500</v>
      </c>
      <c r="I24" s="110"/>
      <c r="J24" s="110">
        <v>-50208400</v>
      </c>
      <c r="K24" s="50"/>
      <c r="L24" s="50">
        <f t="shared" si="2"/>
        <v>-2382900</v>
      </c>
      <c r="M24" s="50"/>
      <c r="N24" s="58">
        <f t="shared" si="3"/>
        <v>164332986</v>
      </c>
      <c r="O24" s="50"/>
      <c r="P24" s="110"/>
      <c r="Q24" s="50"/>
      <c r="T24" s="31">
        <f>'(E) SUF Revenue-326,290'!X24</f>
        <v>-2858000</v>
      </c>
      <c r="V24" s="31">
        <f>'(F) SUG'!L24+'(F) SUG'!N24</f>
        <v>2374700</v>
      </c>
      <c r="W24" s="50"/>
      <c r="X24" s="102"/>
      <c r="Y24" s="71">
        <f t="shared" si="4"/>
        <v>-2257430</v>
      </c>
      <c r="Z24" s="47"/>
      <c r="AA24" s="58">
        <f t="shared" si="1"/>
        <v>163849686</v>
      </c>
    </row>
    <row r="25" spans="1:27" s="31" customFormat="1" ht="15">
      <c r="A25" s="31" t="s">
        <v>16</v>
      </c>
      <c r="B25" s="47">
        <v>128676149</v>
      </c>
      <c r="C25" s="47"/>
      <c r="D25" s="76">
        <v>496290</v>
      </c>
      <c r="E25" s="47"/>
      <c r="F25" s="58">
        <f t="shared" si="0"/>
        <v>129172439</v>
      </c>
      <c r="G25" s="50"/>
      <c r="H25" s="110">
        <v>-37158300</v>
      </c>
      <c r="I25" s="110"/>
      <c r="J25" s="110">
        <v>-40393400</v>
      </c>
      <c r="K25" s="50"/>
      <c r="L25" s="50">
        <f t="shared" si="2"/>
        <v>-3235100</v>
      </c>
      <c r="M25" s="50"/>
      <c r="N25" s="58">
        <f t="shared" si="3"/>
        <v>125937339</v>
      </c>
      <c r="O25" s="50"/>
      <c r="P25" s="110"/>
      <c r="Q25" s="50"/>
      <c r="T25" s="31">
        <f>'(E) SUF Revenue-326,290'!X25</f>
        <v>-2612000</v>
      </c>
      <c r="V25" s="31">
        <f>'(F) SUG'!L25+'(F) SUG'!N25</f>
        <v>2626800</v>
      </c>
      <c r="W25" s="50"/>
      <c r="X25" s="50"/>
      <c r="Y25" s="71">
        <f t="shared" si="4"/>
        <v>-2724010</v>
      </c>
      <c r="Z25" s="47"/>
      <c r="AA25" s="58">
        <f t="shared" si="1"/>
        <v>125952139</v>
      </c>
    </row>
    <row r="26" spans="1:27" s="31" customFormat="1" ht="15">
      <c r="A26" s="31" t="s">
        <v>17</v>
      </c>
      <c r="B26" s="47">
        <v>125111472</v>
      </c>
      <c r="C26" s="47"/>
      <c r="D26" s="76">
        <v>527860</v>
      </c>
      <c r="E26" s="47"/>
      <c r="F26" s="58">
        <f t="shared" si="0"/>
        <v>125639332</v>
      </c>
      <c r="G26" s="50"/>
      <c r="H26" s="110">
        <v>-36790700</v>
      </c>
      <c r="I26" s="110"/>
      <c r="J26" s="110">
        <v>-39453200</v>
      </c>
      <c r="K26" s="50"/>
      <c r="L26" s="50">
        <f t="shared" si="2"/>
        <v>-2662500</v>
      </c>
      <c r="M26" s="50"/>
      <c r="N26" s="58">
        <f t="shared" si="3"/>
        <v>122976832</v>
      </c>
      <c r="O26" s="50"/>
      <c r="P26" s="110"/>
      <c r="Q26" s="50"/>
      <c r="T26" s="31">
        <f>'(E) SUF Revenue-326,290'!X26</f>
        <v>-2401000</v>
      </c>
      <c r="V26" s="31">
        <f>'(F) SUG'!L26+'(F) SUG'!N26</f>
        <v>2499700</v>
      </c>
      <c r="W26" s="50"/>
      <c r="X26" s="50"/>
      <c r="Y26" s="71">
        <f t="shared" si="4"/>
        <v>-2035940</v>
      </c>
      <c r="Z26" s="47"/>
      <c r="AA26" s="58">
        <f t="shared" si="1"/>
        <v>123075532</v>
      </c>
    </row>
    <row r="27" spans="1:27" s="31" customFormat="1" ht="15">
      <c r="A27" s="31" t="s">
        <v>18</v>
      </c>
      <c r="B27" s="47">
        <v>110289288</v>
      </c>
      <c r="C27" s="47"/>
      <c r="D27" s="76">
        <v>426220</v>
      </c>
      <c r="E27" s="47"/>
      <c r="F27" s="58">
        <f t="shared" si="0"/>
        <v>110715508</v>
      </c>
      <c r="G27" s="50"/>
      <c r="H27" s="110">
        <v>-31755400</v>
      </c>
      <c r="I27" s="110"/>
      <c r="J27" s="110">
        <v>-30123000</v>
      </c>
      <c r="K27" s="50"/>
      <c r="L27" s="50">
        <f t="shared" si="2"/>
        <v>1632400</v>
      </c>
      <c r="M27" s="50"/>
      <c r="N27" s="58">
        <f t="shared" si="3"/>
        <v>112347908</v>
      </c>
      <c r="O27" s="50"/>
      <c r="P27" s="110">
        <v>455000</v>
      </c>
      <c r="Q27" s="50"/>
      <c r="T27" s="31">
        <f>'(E) SUF Revenue-326,290'!X27</f>
        <v>-1596000</v>
      </c>
      <c r="V27" s="31">
        <f>'(F) SUG'!L27+'(F) SUG'!N27</f>
        <v>1064700</v>
      </c>
      <c r="W27" s="50"/>
      <c r="X27" s="50"/>
      <c r="Y27" s="71">
        <f t="shared" si="4"/>
        <v>1527320</v>
      </c>
      <c r="Z27" s="47"/>
      <c r="AA27" s="58">
        <f t="shared" si="1"/>
        <v>111816608</v>
      </c>
    </row>
    <row r="28" spans="1:27" s="31" customFormat="1" ht="15">
      <c r="A28" s="31" t="s">
        <v>19</v>
      </c>
      <c r="B28" s="47">
        <v>53536642</v>
      </c>
      <c r="C28" s="47"/>
      <c r="D28" s="76">
        <v>158220</v>
      </c>
      <c r="E28" s="47"/>
      <c r="F28" s="58">
        <f t="shared" si="0"/>
        <v>53694862</v>
      </c>
      <c r="G28" s="50"/>
      <c r="H28" s="110">
        <v>-11870100</v>
      </c>
      <c r="I28" s="110"/>
      <c r="J28" s="110">
        <v>-10672300</v>
      </c>
      <c r="K28" s="50"/>
      <c r="L28" s="50">
        <f t="shared" si="2"/>
        <v>1197800</v>
      </c>
      <c r="M28" s="50"/>
      <c r="N28" s="58">
        <f t="shared" si="3"/>
        <v>54892662</v>
      </c>
      <c r="O28" s="50"/>
      <c r="P28" s="110">
        <v>71000</v>
      </c>
      <c r="Q28" s="50"/>
      <c r="T28" s="31">
        <f>'(E) SUF Revenue-326,290'!X28</f>
        <v>-816000</v>
      </c>
      <c r="V28" s="31">
        <f>'(F) SUG'!L28+'(F) SUG'!N28</f>
        <v>788100</v>
      </c>
      <c r="W28" s="50"/>
      <c r="X28" s="50"/>
      <c r="Y28" s="71">
        <f t="shared" si="4"/>
        <v>1328120</v>
      </c>
      <c r="Z28" s="47"/>
      <c r="AA28" s="58">
        <f t="shared" si="1"/>
        <v>54864762</v>
      </c>
    </row>
    <row r="29" spans="1:27" s="31" customFormat="1" ht="15">
      <c r="A29" s="31" t="s">
        <v>20</v>
      </c>
      <c r="B29" s="47">
        <v>51085673</v>
      </c>
      <c r="C29" s="47"/>
      <c r="D29" s="76">
        <v>168330</v>
      </c>
      <c r="E29" s="47"/>
      <c r="F29" s="58">
        <f t="shared" si="0"/>
        <v>51254003</v>
      </c>
      <c r="G29" s="50"/>
      <c r="H29" s="110">
        <v>-11156200</v>
      </c>
      <c r="I29" s="110"/>
      <c r="J29" s="110">
        <v>-10407500</v>
      </c>
      <c r="K29" s="50"/>
      <c r="L29" s="50">
        <f t="shared" si="2"/>
        <v>748700</v>
      </c>
      <c r="M29" s="50"/>
      <c r="N29" s="58">
        <f t="shared" si="3"/>
        <v>52002703</v>
      </c>
      <c r="O29" s="50"/>
      <c r="P29" s="110"/>
      <c r="Q29" s="50"/>
      <c r="T29" s="31">
        <f>'(E) SUF Revenue-326,290'!X29</f>
        <v>-712000</v>
      </c>
      <c r="V29" s="31">
        <f>'(F) SUG'!L29+'(F) SUG'!N29</f>
        <v>546200</v>
      </c>
      <c r="W29" s="50"/>
      <c r="X29" s="50"/>
      <c r="Y29" s="71">
        <f t="shared" si="4"/>
        <v>751230</v>
      </c>
      <c r="Z29" s="47"/>
      <c r="AA29" s="58">
        <f t="shared" si="1"/>
        <v>51836903</v>
      </c>
    </row>
    <row r="30" spans="1:27" s="31" customFormat="1" ht="15">
      <c r="A30" s="31" t="s">
        <v>21</v>
      </c>
      <c r="B30" s="47">
        <v>51346837</v>
      </c>
      <c r="C30" s="47"/>
      <c r="D30" s="76">
        <v>147270</v>
      </c>
      <c r="E30" s="47"/>
      <c r="F30" s="58">
        <f t="shared" si="0"/>
        <v>51494107</v>
      </c>
      <c r="G30" s="50"/>
      <c r="H30" s="110">
        <v>-11020400</v>
      </c>
      <c r="I30" s="110"/>
      <c r="J30" s="110">
        <v>-10044900</v>
      </c>
      <c r="K30" s="50"/>
      <c r="L30" s="50">
        <f t="shared" si="2"/>
        <v>975500</v>
      </c>
      <c r="M30" s="50"/>
      <c r="N30" s="58">
        <f t="shared" si="3"/>
        <v>52469607</v>
      </c>
      <c r="O30" s="50"/>
      <c r="P30" s="110"/>
      <c r="Q30" s="50"/>
      <c r="T30" s="31">
        <f>'(E) SUF Revenue-326,290'!X30</f>
        <v>-963000</v>
      </c>
      <c r="V30" s="31">
        <f>'(F) SUG'!L30+'(F) SUG'!N30</f>
        <v>881800</v>
      </c>
      <c r="W30" s="50"/>
      <c r="X30" s="50"/>
      <c r="Y30" s="71">
        <f t="shared" si="4"/>
        <v>1041570</v>
      </c>
      <c r="Z30" s="47"/>
      <c r="AA30" s="58">
        <f t="shared" si="1"/>
        <v>52388407</v>
      </c>
    </row>
    <row r="31" spans="2:29" s="31" customFormat="1" ht="9" customHeight="1">
      <c r="B31" s="47"/>
      <c r="C31" s="47"/>
      <c r="D31" s="47"/>
      <c r="E31" s="47"/>
      <c r="F31" s="58"/>
      <c r="G31" s="50"/>
      <c r="H31" s="110"/>
      <c r="I31" s="110"/>
      <c r="J31" s="110"/>
      <c r="K31" s="50"/>
      <c r="L31" s="50"/>
      <c r="M31" s="50"/>
      <c r="N31" s="58"/>
      <c r="O31" s="50"/>
      <c r="P31" s="110"/>
      <c r="Q31" s="50"/>
      <c r="R31" s="50"/>
      <c r="S31" s="50"/>
      <c r="T31" s="50"/>
      <c r="U31" s="50"/>
      <c r="V31" s="50"/>
      <c r="W31" s="50"/>
      <c r="X31" s="50"/>
      <c r="Y31" s="71"/>
      <c r="Z31" s="47"/>
      <c r="AA31" s="58"/>
      <c r="AC31" s="81"/>
    </row>
    <row r="32" spans="1:29" s="56" customFormat="1" ht="15" customHeight="1">
      <c r="A32" s="43" t="s">
        <v>22</v>
      </c>
      <c r="B32" s="48">
        <v>2099050790</v>
      </c>
      <c r="C32" s="48"/>
      <c r="D32" s="48">
        <f>SUM(D8:D31)</f>
        <v>7288547</v>
      </c>
      <c r="E32" s="48"/>
      <c r="F32" s="59">
        <f>SUM(F8:F31)</f>
        <v>2106339337</v>
      </c>
      <c r="G32" s="48"/>
      <c r="H32" s="111">
        <v>-557560000</v>
      </c>
      <c r="I32" s="111"/>
      <c r="J32" s="111">
        <v>-562894800</v>
      </c>
      <c r="K32" s="48"/>
      <c r="L32" s="48">
        <f>SUM(L8:L31)</f>
        <v>-5334800</v>
      </c>
      <c r="M32" s="48"/>
      <c r="N32" s="59">
        <f>SUM(N8:N31)</f>
        <v>2101004537</v>
      </c>
      <c r="O32" s="48"/>
      <c r="P32" s="111">
        <f>SUM(P8:P30)</f>
        <v>11805000</v>
      </c>
      <c r="Q32" s="48"/>
      <c r="R32" s="48">
        <f>SUM(R8:R31)</f>
        <v>333205.16000000003</v>
      </c>
      <c r="S32" s="48"/>
      <c r="T32" s="48">
        <f>SUM(T8:T31)</f>
        <v>-37448000</v>
      </c>
      <c r="U32" s="48"/>
      <c r="V32" s="48">
        <f>SUM(V8:V31)</f>
        <v>37732000</v>
      </c>
      <c r="W32" s="48"/>
      <c r="X32" s="48"/>
      <c r="Y32" s="72">
        <f>SUM(Y8:Y31)</f>
        <v>2570952.16</v>
      </c>
      <c r="Z32" s="55"/>
      <c r="AA32" s="59">
        <f>SUM(AA8:AA31)</f>
        <v>2101621742.1599998</v>
      </c>
      <c r="AC32" s="49"/>
    </row>
    <row r="33" spans="2:29" s="31" customFormat="1" ht="9" customHeight="1">
      <c r="B33" s="47"/>
      <c r="C33" s="47"/>
      <c r="D33" s="47"/>
      <c r="E33" s="47"/>
      <c r="F33" s="58"/>
      <c r="G33" s="50"/>
      <c r="H33" s="110"/>
      <c r="I33" s="110"/>
      <c r="J33" s="110"/>
      <c r="K33" s="50"/>
      <c r="L33" s="50"/>
      <c r="M33" s="50"/>
      <c r="N33" s="58"/>
      <c r="O33" s="50"/>
      <c r="P33" s="110"/>
      <c r="Q33" s="50"/>
      <c r="R33" s="50"/>
      <c r="S33" s="50"/>
      <c r="T33" s="50"/>
      <c r="U33" s="50"/>
      <c r="V33" s="50"/>
      <c r="W33" s="50"/>
      <c r="X33" s="50"/>
      <c r="Y33" s="71"/>
      <c r="Z33" s="47"/>
      <c r="AA33" s="58"/>
      <c r="AC33" s="81"/>
    </row>
    <row r="34" spans="1:29" s="31" customFormat="1" ht="15">
      <c r="A34" s="31" t="s">
        <v>23</v>
      </c>
      <c r="B34" s="47">
        <v>67011227</v>
      </c>
      <c r="C34" s="47"/>
      <c r="D34" s="47">
        <f>157460</f>
        <v>157460</v>
      </c>
      <c r="E34" s="47"/>
      <c r="F34" s="58">
        <f>B34+D34</f>
        <v>67168687</v>
      </c>
      <c r="G34" s="50"/>
      <c r="H34" s="110">
        <v>-8584100</v>
      </c>
      <c r="I34" s="110"/>
      <c r="J34" s="110">
        <v>-5350700</v>
      </c>
      <c r="K34" s="50"/>
      <c r="L34" s="50">
        <f>J34-H34</f>
        <v>3233400</v>
      </c>
      <c r="M34" s="50"/>
      <c r="N34" s="58">
        <f>F34+L34</f>
        <v>70402087</v>
      </c>
      <c r="O34" s="50"/>
      <c r="P34" s="110"/>
      <c r="Q34" s="50"/>
      <c r="R34" s="50">
        <f>-87000+2293095+77625+25000+222365</f>
        <v>2531085</v>
      </c>
      <c r="S34" s="50"/>
      <c r="T34" s="31">
        <f>'(E) SUF Revenue-326,290'!X34</f>
        <v>0</v>
      </c>
      <c r="V34" s="31">
        <v>0</v>
      </c>
      <c r="W34" s="50"/>
      <c r="X34" s="50"/>
      <c r="Y34" s="71">
        <f>D34+L34+R34+T34+V34</f>
        <v>5921945</v>
      </c>
      <c r="Z34" s="47"/>
      <c r="AA34" s="58">
        <f>B34+Y34</f>
        <v>72933172</v>
      </c>
      <c r="AC34" s="80"/>
    </row>
    <row r="35" spans="1:29" s="31" customFormat="1" ht="15">
      <c r="A35" s="31" t="s">
        <v>32</v>
      </c>
      <c r="B35" s="47">
        <v>1244735</v>
      </c>
      <c r="C35" s="47"/>
      <c r="D35" s="47">
        <v>0</v>
      </c>
      <c r="E35" s="47"/>
      <c r="F35" s="58">
        <f>B35+D35</f>
        <v>1244735</v>
      </c>
      <c r="G35" s="50"/>
      <c r="H35" s="110">
        <v>0</v>
      </c>
      <c r="I35" s="110"/>
      <c r="J35" s="110">
        <v>0</v>
      </c>
      <c r="K35" s="50"/>
      <c r="L35" s="50">
        <f>J35-H35</f>
        <v>0</v>
      </c>
      <c r="M35" s="50"/>
      <c r="N35" s="58">
        <f>F35+L35</f>
        <v>1244735</v>
      </c>
      <c r="O35" s="50"/>
      <c r="P35" s="110"/>
      <c r="Q35" s="50"/>
      <c r="R35" s="50">
        <v>0</v>
      </c>
      <c r="S35" s="50"/>
      <c r="T35" s="31">
        <f>'(E) SUF Revenue-326,290'!X35</f>
        <v>-181000</v>
      </c>
      <c r="V35" s="31">
        <v>0</v>
      </c>
      <c r="W35" s="50"/>
      <c r="X35" s="50"/>
      <c r="Y35" s="71">
        <f>D35+L35+R35+T35+V35</f>
        <v>-181000</v>
      </c>
      <c r="Z35" s="47"/>
      <c r="AA35" s="58">
        <f>B35+Y35</f>
        <v>1063735</v>
      </c>
      <c r="AC35" s="80"/>
    </row>
    <row r="36" spans="1:29" s="31" customFormat="1" ht="15">
      <c r="A36" s="31" t="s">
        <v>24</v>
      </c>
      <c r="B36" s="47">
        <v>2476496</v>
      </c>
      <c r="C36" s="47"/>
      <c r="D36" s="47">
        <v>0</v>
      </c>
      <c r="E36" s="47"/>
      <c r="F36" s="58">
        <f>B36+D36</f>
        <v>2476496</v>
      </c>
      <c r="G36" s="50"/>
      <c r="H36" s="110">
        <v>0</v>
      </c>
      <c r="I36" s="110"/>
      <c r="J36" s="110">
        <v>0</v>
      </c>
      <c r="K36" s="50"/>
      <c r="L36" s="50">
        <f>J36-H36</f>
        <v>0</v>
      </c>
      <c r="M36" s="50"/>
      <c r="N36" s="58">
        <f>F36+L36</f>
        <v>2476496</v>
      </c>
      <c r="O36" s="50"/>
      <c r="P36" s="110"/>
      <c r="Q36" s="50"/>
      <c r="R36" s="50">
        <v>0</v>
      </c>
      <c r="S36" s="50"/>
      <c r="T36" s="31">
        <f>'(E) SUF Revenue-326,290'!X36</f>
        <v>-62000</v>
      </c>
      <c r="V36" s="31">
        <v>0</v>
      </c>
      <c r="W36" s="50"/>
      <c r="X36" s="50"/>
      <c r="Y36" s="71">
        <f>D36+L36+R36+T36+V36</f>
        <v>-62000</v>
      </c>
      <c r="Z36" s="47"/>
      <c r="AA36" s="58">
        <f>B36+Y36</f>
        <v>2414496</v>
      </c>
      <c r="AC36" s="80"/>
    </row>
    <row r="37" spans="1:29" s="31" customFormat="1" ht="15">
      <c r="A37" s="31" t="s">
        <v>25</v>
      </c>
      <c r="B37" s="47">
        <v>98800</v>
      </c>
      <c r="C37" s="47"/>
      <c r="D37" s="47">
        <v>0</v>
      </c>
      <c r="E37" s="47"/>
      <c r="F37" s="58">
        <f>B37+D37</f>
        <v>98800</v>
      </c>
      <c r="G37" s="50"/>
      <c r="H37" s="110">
        <v>0</v>
      </c>
      <c r="I37" s="110"/>
      <c r="J37" s="110">
        <v>0</v>
      </c>
      <c r="K37" s="50"/>
      <c r="L37" s="50">
        <f>J37-H37</f>
        <v>0</v>
      </c>
      <c r="M37" s="50"/>
      <c r="N37" s="58">
        <f>F37+L37</f>
        <v>98800</v>
      </c>
      <c r="O37" s="50"/>
      <c r="P37" s="110"/>
      <c r="Q37" s="50"/>
      <c r="R37" s="50">
        <v>0</v>
      </c>
      <c r="S37" s="50"/>
      <c r="T37" s="31">
        <f>'(E) SUF Revenue-326,290'!X37</f>
        <v>-41000</v>
      </c>
      <c r="V37" s="31">
        <v>0</v>
      </c>
      <c r="W37" s="50"/>
      <c r="X37" s="50"/>
      <c r="Y37" s="71">
        <f>D37+L37+R37+T37+V37</f>
        <v>-41000</v>
      </c>
      <c r="Z37" s="47"/>
      <c r="AA37" s="58">
        <f>B37+Y37</f>
        <v>57800</v>
      </c>
      <c r="AC37" s="80"/>
    </row>
    <row r="38" spans="1:29" s="31" customFormat="1" ht="15">
      <c r="A38" s="31" t="s">
        <v>26</v>
      </c>
      <c r="B38" s="47">
        <v>168069601</v>
      </c>
      <c r="C38" s="47"/>
      <c r="D38" s="47">
        <v>0</v>
      </c>
      <c r="E38" s="47"/>
      <c r="F38" s="58">
        <f>B38+D38</f>
        <v>168069601</v>
      </c>
      <c r="G38" s="50"/>
      <c r="H38" s="110">
        <v>-4955900</v>
      </c>
      <c r="I38" s="110"/>
      <c r="J38" s="110">
        <v>-2854500</v>
      </c>
      <c r="K38" s="50"/>
      <c r="L38" s="50">
        <f>J38-H38</f>
        <v>2101400</v>
      </c>
      <c r="M38" s="50"/>
      <c r="N38" s="58">
        <f>F38+L38</f>
        <v>170171001</v>
      </c>
      <c r="O38" s="50"/>
      <c r="P38" s="110"/>
      <c r="Q38" s="50"/>
      <c r="R38" s="50">
        <f>910500+87000-2293095-77625+4656000+8133000+663000-1878000-25000-222365-74917-8288-250000</f>
        <v>9620210</v>
      </c>
      <c r="S38" s="50"/>
      <c r="T38" s="31">
        <f>'(E) SUF Revenue-326,290'!X38</f>
        <v>0</v>
      </c>
      <c r="V38" s="31">
        <v>0</v>
      </c>
      <c r="W38" s="50"/>
      <c r="X38" s="102"/>
      <c r="Y38" s="71">
        <f>D38+L38+R38+T38+V38</f>
        <v>11721610</v>
      </c>
      <c r="Z38" s="47"/>
      <c r="AA38" s="58">
        <f>B38+Y38</f>
        <v>179791211</v>
      </c>
      <c r="AC38" s="80"/>
    </row>
    <row r="39" spans="2:29" s="31" customFormat="1" ht="9" customHeight="1">
      <c r="B39" s="47"/>
      <c r="C39" s="47"/>
      <c r="D39" s="47"/>
      <c r="E39" s="47"/>
      <c r="F39" s="58"/>
      <c r="G39" s="50"/>
      <c r="H39" s="110"/>
      <c r="I39" s="110"/>
      <c r="J39" s="110"/>
      <c r="K39" s="50"/>
      <c r="L39" s="50"/>
      <c r="M39" s="50"/>
      <c r="N39" s="58"/>
      <c r="O39" s="50"/>
      <c r="P39" s="110"/>
      <c r="Q39" s="50"/>
      <c r="R39" s="50"/>
      <c r="S39" s="50"/>
      <c r="T39" s="50"/>
      <c r="U39" s="50"/>
      <c r="V39" s="50"/>
      <c r="W39" s="50"/>
      <c r="X39" s="50"/>
      <c r="Y39" s="71"/>
      <c r="Z39" s="47"/>
      <c r="AA39" s="58"/>
      <c r="AC39" s="81"/>
    </row>
    <row r="40" spans="1:29" s="56" customFormat="1" ht="15" customHeight="1" thickBot="1">
      <c r="A40" s="44" t="s">
        <v>27</v>
      </c>
      <c r="B40" s="52">
        <v>2337951649</v>
      </c>
      <c r="C40" s="52"/>
      <c r="D40" s="52">
        <f>SUM(D32:D38)</f>
        <v>7446007</v>
      </c>
      <c r="E40" s="52"/>
      <c r="F40" s="60">
        <f>SUM(F32:F38)</f>
        <v>2345397656</v>
      </c>
      <c r="G40" s="52"/>
      <c r="H40" s="112">
        <v>-571100000</v>
      </c>
      <c r="I40" s="112"/>
      <c r="J40" s="112">
        <v>-571100000</v>
      </c>
      <c r="K40" s="52"/>
      <c r="L40" s="52">
        <f>L32+L34+L35+L36+L37+L38</f>
        <v>0</v>
      </c>
      <c r="M40" s="52"/>
      <c r="N40" s="60">
        <f>SUM(N32:N38)</f>
        <v>2345397656</v>
      </c>
      <c r="O40" s="52"/>
      <c r="P40" s="112">
        <f>P32</f>
        <v>11805000</v>
      </c>
      <c r="Q40" s="52"/>
      <c r="R40" s="52">
        <f>SUM(R32:R38)</f>
        <v>12484500.16</v>
      </c>
      <c r="S40" s="52"/>
      <c r="T40" s="52">
        <f>SUM(T32:T38)</f>
        <v>-37732000</v>
      </c>
      <c r="U40" s="52"/>
      <c r="V40" s="52">
        <f>SUM(V32:V38)</f>
        <v>37732000</v>
      </c>
      <c r="W40" s="52"/>
      <c r="X40" s="52"/>
      <c r="Y40" s="101">
        <f>SUM(Y32:Y38)</f>
        <v>19930507.16</v>
      </c>
      <c r="Z40" s="52"/>
      <c r="AA40" s="60">
        <f>SUM(AA32:AA38)</f>
        <v>2357882156.16</v>
      </c>
      <c r="AC40" s="49"/>
    </row>
    <row r="41" spans="13:23" ht="12.75"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7" ht="54" customHeight="1">
      <c r="A42" s="546" t="s">
        <v>199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</row>
    <row r="43" spans="1:27" ht="18" customHeight="1">
      <c r="A43" s="546"/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</row>
  </sheetData>
  <sheetProtection/>
  <mergeCells count="2">
    <mergeCell ref="A42:AA42"/>
    <mergeCell ref="A43:AA43"/>
  </mergeCells>
  <printOptions/>
  <pageMargins left="0.25" right="0.25" top="0.25" bottom="0.25" header="0.5" footer="0.5"/>
  <pageSetup fitToHeight="1" fitToWidth="1" horizontalDpi="600" verticalDpi="600" orientation="landscape" paperSize="5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13" sqref="U13"/>
    </sheetView>
  </sheetViews>
  <sheetFormatPr defaultColWidth="10.83203125" defaultRowHeight="12.75"/>
  <cols>
    <col min="1" max="1" width="23.66015625" style="496" customWidth="1"/>
    <col min="2" max="2" width="12.5" style="496" customWidth="1"/>
    <col min="3" max="3" width="12.16015625" style="496" customWidth="1"/>
    <col min="4" max="4" width="15.5" style="496" customWidth="1"/>
    <col min="5" max="5" width="15.83203125" style="496" bestFit="1" customWidth="1"/>
    <col min="6" max="6" width="9.5" style="496" customWidth="1"/>
    <col min="7" max="7" width="1.0078125" style="496" customWidth="1"/>
    <col min="8" max="8" width="11.5" style="496" bestFit="1" customWidth="1"/>
    <col min="9" max="9" width="1.0078125" style="496" customWidth="1"/>
    <col min="10" max="10" width="14.83203125" style="496" bestFit="1" customWidth="1"/>
    <col min="11" max="11" width="10.5" style="496" customWidth="1"/>
    <col min="12" max="12" width="14.16015625" style="496" customWidth="1"/>
    <col min="13" max="13" width="1.83203125" style="496" customWidth="1"/>
    <col min="14" max="14" width="14.66015625" style="496" customWidth="1"/>
    <col min="15" max="15" width="14.83203125" style="496" customWidth="1"/>
    <col min="16" max="16" width="14.66015625" style="496" customWidth="1"/>
    <col min="17" max="17" width="2" style="496" customWidth="1"/>
    <col min="18" max="18" width="17.16015625" style="496" bestFit="1" customWidth="1"/>
    <col min="19" max="19" width="2" style="496" customWidth="1"/>
    <col min="20" max="20" width="15.5" style="496" customWidth="1"/>
    <col min="21" max="21" width="10.16015625" style="496" customWidth="1"/>
    <col min="22" max="16384" width="10.83203125" style="496" customWidth="1"/>
  </cols>
  <sheetData>
    <row r="1" spans="1:5" ht="18.75">
      <c r="A1" s="328" t="s">
        <v>205</v>
      </c>
      <c r="B1" s="495"/>
      <c r="E1" s="329"/>
    </row>
    <row r="2" spans="2:18" ht="15.75" customHeight="1">
      <c r="B2" s="495"/>
      <c r="D2" s="371"/>
      <c r="E2" s="497"/>
      <c r="N2" s="549"/>
      <c r="O2" s="549"/>
      <c r="P2" s="549"/>
      <c r="Q2" s="549"/>
      <c r="R2" s="549"/>
    </row>
    <row r="3" spans="2:20" s="372" customFormat="1" ht="15.75" customHeight="1">
      <c r="B3" s="372">
        <v>-1</v>
      </c>
      <c r="C3" s="550">
        <v>-2</v>
      </c>
      <c r="D3" s="550"/>
      <c r="E3" s="550"/>
      <c r="F3" s="550">
        <v>-3</v>
      </c>
      <c r="G3" s="550"/>
      <c r="H3" s="550"/>
      <c r="I3" s="550"/>
      <c r="J3" s="550"/>
      <c r="K3" s="550">
        <v>-4</v>
      </c>
      <c r="L3" s="550"/>
      <c r="M3" s="334"/>
      <c r="N3" s="334">
        <v>-5</v>
      </c>
      <c r="O3" s="334">
        <v>-6</v>
      </c>
      <c r="P3" s="334">
        <v>-7</v>
      </c>
      <c r="Q3" s="334"/>
      <c r="R3" s="334">
        <v>-8</v>
      </c>
      <c r="S3" s="334"/>
      <c r="T3" s="334">
        <v>-9</v>
      </c>
    </row>
    <row r="4" spans="1:21" ht="16.5" thickBot="1">
      <c r="A4" s="332"/>
      <c r="B4" s="332"/>
      <c r="C4" s="554" t="s">
        <v>162</v>
      </c>
      <c r="D4" s="554"/>
      <c r="E4" s="554"/>
      <c r="F4" s="554"/>
      <c r="G4" s="554"/>
      <c r="H4" s="554"/>
      <c r="I4" s="554"/>
      <c r="J4" s="554"/>
      <c r="K4" s="554"/>
      <c r="L4" s="554"/>
      <c r="M4" s="542"/>
      <c r="N4" s="547" t="s">
        <v>161</v>
      </c>
      <c r="O4" s="548"/>
      <c r="P4" s="548"/>
      <c r="Q4" s="498"/>
      <c r="S4" s="333"/>
      <c r="T4" s="412"/>
      <c r="U4" s="499"/>
    </row>
    <row r="5" spans="1:21" s="501" customFormat="1" ht="78.75" thickBot="1">
      <c r="A5" s="373"/>
      <c r="B5" s="374" t="s">
        <v>160</v>
      </c>
      <c r="C5" s="413" t="s">
        <v>165</v>
      </c>
      <c r="D5" s="414" t="s">
        <v>174</v>
      </c>
      <c r="E5" s="522" t="s">
        <v>210</v>
      </c>
      <c r="F5" s="551" t="s">
        <v>211</v>
      </c>
      <c r="G5" s="552"/>
      <c r="H5" s="552"/>
      <c r="I5" s="552"/>
      <c r="J5" s="553"/>
      <c r="K5" s="413" t="s">
        <v>173</v>
      </c>
      <c r="L5" s="414" t="s">
        <v>174</v>
      </c>
      <c r="M5" s="375"/>
      <c r="N5" s="376" t="s">
        <v>35</v>
      </c>
      <c r="O5" s="343" t="s">
        <v>34</v>
      </c>
      <c r="P5" s="343" t="s">
        <v>183</v>
      </c>
      <c r="Q5" s="376"/>
      <c r="R5" s="342" t="s">
        <v>169</v>
      </c>
      <c r="S5" s="370"/>
      <c r="T5" s="342" t="s">
        <v>206</v>
      </c>
      <c r="U5" s="500"/>
    </row>
    <row r="6" spans="3:21" s="377" customFormat="1" ht="23.25" customHeight="1">
      <c r="C6" s="397"/>
      <c r="D6" s="379"/>
      <c r="E6" s="410"/>
      <c r="F6" s="523" t="s">
        <v>171</v>
      </c>
      <c r="G6" s="378"/>
      <c r="H6" s="524" t="s">
        <v>172</v>
      </c>
      <c r="I6" s="378"/>
      <c r="J6" s="525" t="s">
        <v>170</v>
      </c>
      <c r="K6" s="378"/>
      <c r="L6" s="336"/>
      <c r="M6" s="336"/>
      <c r="N6" s="380"/>
      <c r="O6" s="381"/>
      <c r="P6" s="381"/>
      <c r="Q6" s="380"/>
      <c r="R6" s="369"/>
      <c r="S6" s="369"/>
      <c r="T6" s="17" t="s">
        <v>200</v>
      </c>
      <c r="U6" s="382"/>
    </row>
    <row r="7" spans="1:21" ht="9" customHeight="1">
      <c r="A7" s="332"/>
      <c r="B7" s="332"/>
      <c r="C7" s="398"/>
      <c r="D7" s="384"/>
      <c r="E7" s="411"/>
      <c r="F7" s="398"/>
      <c r="G7" s="383"/>
      <c r="H7" s="383"/>
      <c r="I7" s="383"/>
      <c r="J7" s="399"/>
      <c r="K7" s="383"/>
      <c r="L7" s="384"/>
      <c r="M7" s="337"/>
      <c r="N7" s="385"/>
      <c r="O7" s="384"/>
      <c r="P7" s="384"/>
      <c r="Q7" s="385"/>
      <c r="R7" s="335"/>
      <c r="S7" s="335"/>
      <c r="T7" s="386"/>
      <c r="U7" s="502"/>
    </row>
    <row r="8" spans="1:21" ht="15.75">
      <c r="A8" s="332" t="s">
        <v>0</v>
      </c>
      <c r="B8" s="332">
        <v>6472</v>
      </c>
      <c r="C8" s="390">
        <v>198</v>
      </c>
      <c r="D8" s="388">
        <f>ROUND(C8*7305,-2)</f>
        <v>1446400</v>
      </c>
      <c r="E8" s="400">
        <f aca="true" t="shared" si="0" ref="E8:E30">B8+C8</f>
        <v>6670</v>
      </c>
      <c r="F8" s="258">
        <v>191</v>
      </c>
      <c r="G8" s="238"/>
      <c r="H8" s="387">
        <f>E8+F8</f>
        <v>6861</v>
      </c>
      <c r="I8" s="387"/>
      <c r="J8" s="400"/>
      <c r="K8" s="387"/>
      <c r="L8" s="388"/>
      <c r="M8" s="338"/>
      <c r="N8" s="389">
        <v>207000</v>
      </c>
      <c r="O8" s="388">
        <v>146600</v>
      </c>
      <c r="P8" s="388">
        <v>0</v>
      </c>
      <c r="Q8" s="389"/>
      <c r="R8" s="338">
        <v>2177750</v>
      </c>
      <c r="S8" s="338"/>
      <c r="T8" s="338">
        <f>D8+J8+L8+N8+O8+P8+R8</f>
        <v>3977750</v>
      </c>
      <c r="U8" s="503"/>
    </row>
    <row r="9" spans="1:20" ht="15.75">
      <c r="A9" s="332" t="s">
        <v>1</v>
      </c>
      <c r="B9" s="332">
        <v>2467</v>
      </c>
      <c r="C9" s="390">
        <v>0</v>
      </c>
      <c r="D9" s="387">
        <f>ROUND(C9*7305,-2)</f>
        <v>0</v>
      </c>
      <c r="E9" s="400">
        <f t="shared" si="0"/>
        <v>2467</v>
      </c>
      <c r="F9" s="258">
        <v>0</v>
      </c>
      <c r="G9" s="238"/>
      <c r="H9" s="387">
        <f aca="true" t="shared" si="1" ref="H9:H30">E9+F9</f>
        <v>2467</v>
      </c>
      <c r="I9" s="387"/>
      <c r="J9" s="400"/>
      <c r="K9" s="387">
        <v>590</v>
      </c>
      <c r="L9" s="387">
        <f>ROUND(K9*7305,-1)</f>
        <v>4309950</v>
      </c>
      <c r="M9" s="339"/>
      <c r="N9" s="390">
        <v>150000</v>
      </c>
      <c r="O9" s="387">
        <v>107500</v>
      </c>
      <c r="P9" s="387">
        <v>601900</v>
      </c>
      <c r="Q9" s="390"/>
      <c r="R9" s="339">
        <v>507890</v>
      </c>
      <c r="S9" s="339"/>
      <c r="T9" s="339">
        <f>D9+J9+L9+N9+O9+P9+R9</f>
        <v>5677240</v>
      </c>
    </row>
    <row r="10" spans="1:21" ht="15.75">
      <c r="A10" s="332" t="s">
        <v>2</v>
      </c>
      <c r="B10" s="332">
        <v>13314</v>
      </c>
      <c r="C10" s="390">
        <v>645</v>
      </c>
      <c r="D10" s="387">
        <f aca="true" t="shared" si="2" ref="D10:D30">ROUND(C10*7305,-2)</f>
        <v>4711700</v>
      </c>
      <c r="E10" s="400">
        <f t="shared" si="0"/>
        <v>13959</v>
      </c>
      <c r="F10" s="258">
        <v>623</v>
      </c>
      <c r="G10" s="238"/>
      <c r="H10" s="387">
        <f t="shared" si="1"/>
        <v>14582</v>
      </c>
      <c r="I10" s="387"/>
      <c r="J10" s="400"/>
      <c r="K10" s="387"/>
      <c r="L10" s="387"/>
      <c r="M10" s="339"/>
      <c r="N10" s="390">
        <v>470000</v>
      </c>
      <c r="O10" s="387">
        <v>312800</v>
      </c>
      <c r="P10" s="387">
        <v>0</v>
      </c>
      <c r="Q10" s="390"/>
      <c r="R10" s="339">
        <v>5214040</v>
      </c>
      <c r="S10" s="339"/>
      <c r="T10" s="339">
        <f aca="true" t="shared" si="3" ref="T10:T30">D10+J10+L10+N10+O10+P10+R10</f>
        <v>10708540</v>
      </c>
      <c r="U10" s="504"/>
    </row>
    <row r="11" spans="1:21" ht="15.75">
      <c r="A11" s="332" t="s">
        <v>3</v>
      </c>
      <c r="B11" s="332">
        <v>8788</v>
      </c>
      <c r="C11" s="390">
        <v>269</v>
      </c>
      <c r="D11" s="387">
        <f t="shared" si="2"/>
        <v>1965000</v>
      </c>
      <c r="E11" s="400">
        <f t="shared" si="0"/>
        <v>9057</v>
      </c>
      <c r="F11" s="258">
        <v>260</v>
      </c>
      <c r="G11" s="238"/>
      <c r="H11" s="387">
        <f t="shared" si="1"/>
        <v>9317</v>
      </c>
      <c r="I11" s="387"/>
      <c r="J11" s="400"/>
      <c r="K11" s="387"/>
      <c r="L11" s="387"/>
      <c r="M11" s="339"/>
      <c r="N11" s="390">
        <v>250000</v>
      </c>
      <c r="O11" s="387">
        <v>180500</v>
      </c>
      <c r="P11" s="387">
        <v>0</v>
      </c>
      <c r="Q11" s="390"/>
      <c r="R11" s="339">
        <v>2782010</v>
      </c>
      <c r="S11" s="339"/>
      <c r="T11" s="339">
        <f t="shared" si="3"/>
        <v>5177510</v>
      </c>
      <c r="U11" s="504"/>
    </row>
    <row r="12" spans="1:21" ht="15.75">
      <c r="A12" s="332" t="s">
        <v>29</v>
      </c>
      <c r="B12" s="332">
        <v>10646</v>
      </c>
      <c r="C12" s="390">
        <v>516</v>
      </c>
      <c r="D12" s="387">
        <f t="shared" si="2"/>
        <v>3769400</v>
      </c>
      <c r="E12" s="400">
        <f t="shared" si="0"/>
        <v>11162</v>
      </c>
      <c r="F12" s="258">
        <v>498</v>
      </c>
      <c r="G12" s="238"/>
      <c r="H12" s="387">
        <f t="shared" si="1"/>
        <v>11660</v>
      </c>
      <c r="I12" s="387"/>
      <c r="J12" s="400"/>
      <c r="K12" s="387"/>
      <c r="L12" s="387"/>
      <c r="M12" s="339"/>
      <c r="N12" s="390">
        <v>354000</v>
      </c>
      <c r="O12" s="387">
        <v>253600</v>
      </c>
      <c r="P12" s="387">
        <v>977500</v>
      </c>
      <c r="Q12" s="390"/>
      <c r="R12" s="339">
        <v>4101110</v>
      </c>
      <c r="S12" s="339"/>
      <c r="T12" s="339">
        <f t="shared" si="3"/>
        <v>9455610</v>
      </c>
      <c r="U12" s="504"/>
    </row>
    <row r="13" spans="1:21" ht="15.75">
      <c r="A13" s="332" t="s">
        <v>4</v>
      </c>
      <c r="B13" s="332">
        <v>16457</v>
      </c>
      <c r="C13" s="390">
        <v>798</v>
      </c>
      <c r="D13" s="387">
        <f t="shared" si="2"/>
        <v>5829400</v>
      </c>
      <c r="E13" s="400">
        <f t="shared" si="0"/>
        <v>17255</v>
      </c>
      <c r="F13" s="258">
        <v>769</v>
      </c>
      <c r="G13" s="238"/>
      <c r="H13" s="387">
        <f t="shared" si="1"/>
        <v>18024</v>
      </c>
      <c r="I13" s="387"/>
      <c r="J13" s="400"/>
      <c r="K13" s="387"/>
      <c r="L13" s="387"/>
      <c r="M13" s="339"/>
      <c r="N13" s="390">
        <v>515000</v>
      </c>
      <c r="O13" s="387">
        <v>363000</v>
      </c>
      <c r="P13" s="387">
        <v>54700</v>
      </c>
      <c r="Q13" s="390"/>
      <c r="R13" s="339">
        <v>6541270</v>
      </c>
      <c r="S13" s="339"/>
      <c r="T13" s="339">
        <f t="shared" si="3"/>
        <v>13303370</v>
      </c>
      <c r="U13" s="504"/>
    </row>
    <row r="14" spans="1:21" ht="15.75">
      <c r="A14" s="332" t="s">
        <v>5</v>
      </c>
      <c r="B14" s="332">
        <v>24245</v>
      </c>
      <c r="C14" s="390">
        <v>1353</v>
      </c>
      <c r="D14" s="387">
        <f t="shared" si="2"/>
        <v>9883700</v>
      </c>
      <c r="E14" s="400">
        <f t="shared" si="0"/>
        <v>25598</v>
      </c>
      <c r="F14" s="258">
        <v>1305</v>
      </c>
      <c r="G14" s="238"/>
      <c r="H14" s="387">
        <f t="shared" si="1"/>
        <v>26903</v>
      </c>
      <c r="I14" s="387"/>
      <c r="J14" s="400"/>
      <c r="K14" s="387"/>
      <c r="L14" s="387"/>
      <c r="M14" s="339"/>
      <c r="N14" s="390">
        <v>678000</v>
      </c>
      <c r="O14" s="387">
        <v>481400</v>
      </c>
      <c r="P14" s="387">
        <v>77800</v>
      </c>
      <c r="Q14" s="390"/>
      <c r="R14" s="339">
        <v>8926970</v>
      </c>
      <c r="S14" s="339"/>
      <c r="T14" s="339">
        <f t="shared" si="3"/>
        <v>20047870</v>
      </c>
      <c r="U14" s="504"/>
    </row>
    <row r="15" spans="1:21" ht="15.75">
      <c r="A15" s="332" t="s">
        <v>6</v>
      </c>
      <c r="B15" s="332">
        <v>6612</v>
      </c>
      <c r="C15" s="390">
        <v>202</v>
      </c>
      <c r="D15" s="387">
        <f t="shared" si="2"/>
        <v>1475600</v>
      </c>
      <c r="E15" s="400">
        <f t="shared" si="0"/>
        <v>6814</v>
      </c>
      <c r="F15" s="258">
        <v>196</v>
      </c>
      <c r="G15" s="238"/>
      <c r="H15" s="387">
        <f t="shared" si="1"/>
        <v>7010</v>
      </c>
      <c r="I15" s="387"/>
      <c r="J15" s="400"/>
      <c r="K15" s="387"/>
      <c r="L15" s="387"/>
      <c r="M15" s="339"/>
      <c r="N15" s="390">
        <v>258000</v>
      </c>
      <c r="O15" s="387">
        <v>235000</v>
      </c>
      <c r="P15" s="387">
        <v>585800</v>
      </c>
      <c r="Q15" s="390"/>
      <c r="R15" s="339">
        <v>2171640</v>
      </c>
      <c r="S15" s="339"/>
      <c r="T15" s="339">
        <f t="shared" si="3"/>
        <v>4726040</v>
      </c>
      <c r="U15" s="504"/>
    </row>
    <row r="16" spans="1:21" ht="15.75">
      <c r="A16" s="332" t="s">
        <v>7</v>
      </c>
      <c r="B16" s="332">
        <v>25056</v>
      </c>
      <c r="C16" s="390">
        <v>1398</v>
      </c>
      <c r="D16" s="387">
        <f t="shared" si="2"/>
        <v>10212400</v>
      </c>
      <c r="E16" s="400">
        <f t="shared" si="0"/>
        <v>26454</v>
      </c>
      <c r="F16" s="258">
        <v>1348</v>
      </c>
      <c r="G16" s="238"/>
      <c r="H16" s="387">
        <f t="shared" si="1"/>
        <v>27802</v>
      </c>
      <c r="I16" s="387"/>
      <c r="J16" s="400"/>
      <c r="K16" s="387"/>
      <c r="L16" s="387"/>
      <c r="M16" s="339"/>
      <c r="N16" s="390">
        <v>712000</v>
      </c>
      <c r="O16" s="387">
        <v>523400</v>
      </c>
      <c r="P16" s="387">
        <v>1642900</v>
      </c>
      <c r="Q16" s="390"/>
      <c r="R16" s="339">
        <v>9803540</v>
      </c>
      <c r="S16" s="339"/>
      <c r="T16" s="339">
        <f t="shared" si="3"/>
        <v>22894240</v>
      </c>
      <c r="U16" s="504"/>
    </row>
    <row r="17" spans="1:21" ht="15.75">
      <c r="A17" s="332" t="s">
        <v>8</v>
      </c>
      <c r="B17" s="332">
        <v>15385</v>
      </c>
      <c r="C17" s="390">
        <v>746</v>
      </c>
      <c r="D17" s="387">
        <f t="shared" si="2"/>
        <v>5449500</v>
      </c>
      <c r="E17" s="400">
        <f t="shared" si="0"/>
        <v>16131</v>
      </c>
      <c r="F17" s="258">
        <v>719</v>
      </c>
      <c r="G17" s="238"/>
      <c r="H17" s="387">
        <f t="shared" si="1"/>
        <v>16850</v>
      </c>
      <c r="I17" s="387"/>
      <c r="J17" s="400"/>
      <c r="K17" s="387"/>
      <c r="L17" s="387"/>
      <c r="M17" s="339"/>
      <c r="N17" s="390">
        <v>408000</v>
      </c>
      <c r="O17" s="387">
        <v>405000</v>
      </c>
      <c r="P17" s="387">
        <v>1190000</v>
      </c>
      <c r="Q17" s="390"/>
      <c r="R17" s="339">
        <v>5976710</v>
      </c>
      <c r="S17" s="339"/>
      <c r="T17" s="339">
        <f t="shared" si="3"/>
        <v>13429210</v>
      </c>
      <c r="U17" s="504"/>
    </row>
    <row r="18" spans="1:20" ht="15.75">
      <c r="A18" s="332" t="s">
        <v>9</v>
      </c>
      <c r="B18" s="332">
        <v>870</v>
      </c>
      <c r="C18" s="390">
        <v>0</v>
      </c>
      <c r="D18" s="387">
        <f t="shared" si="2"/>
        <v>0</v>
      </c>
      <c r="E18" s="400">
        <f t="shared" si="0"/>
        <v>870</v>
      </c>
      <c r="F18" s="258">
        <v>0</v>
      </c>
      <c r="G18" s="238"/>
      <c r="H18" s="387">
        <f t="shared" si="1"/>
        <v>870</v>
      </c>
      <c r="I18" s="387"/>
      <c r="J18" s="400"/>
      <c r="K18" s="387">
        <v>80</v>
      </c>
      <c r="L18" s="387">
        <f>ROUND(K18*7305,-1)</f>
        <v>584400</v>
      </c>
      <c r="M18" s="339"/>
      <c r="N18" s="390">
        <v>51000</v>
      </c>
      <c r="O18" s="387">
        <v>71000</v>
      </c>
      <c r="P18" s="387">
        <v>0</v>
      </c>
      <c r="Q18" s="390"/>
      <c r="R18" s="339">
        <v>191650</v>
      </c>
      <c r="S18" s="339"/>
      <c r="T18" s="339">
        <f t="shared" si="3"/>
        <v>898050</v>
      </c>
    </row>
    <row r="19" spans="1:20" ht="15.75">
      <c r="A19" s="332" t="s">
        <v>10</v>
      </c>
      <c r="B19" s="332">
        <v>3640</v>
      </c>
      <c r="C19" s="390">
        <v>0</v>
      </c>
      <c r="D19" s="387">
        <f t="shared" si="2"/>
        <v>0</v>
      </c>
      <c r="E19" s="400">
        <f t="shared" si="0"/>
        <v>3640</v>
      </c>
      <c r="F19" s="258">
        <v>0</v>
      </c>
      <c r="G19" s="238"/>
      <c r="H19" s="387">
        <f t="shared" si="1"/>
        <v>3640</v>
      </c>
      <c r="I19" s="387"/>
      <c r="J19" s="400"/>
      <c r="K19" s="387">
        <v>260</v>
      </c>
      <c r="L19" s="387">
        <f>ROUND(K19*7305,-1)</f>
        <v>1899300</v>
      </c>
      <c r="M19" s="339"/>
      <c r="N19" s="390">
        <v>156000</v>
      </c>
      <c r="O19" s="387">
        <v>130200</v>
      </c>
      <c r="P19" s="387">
        <v>0</v>
      </c>
      <c r="Q19" s="390"/>
      <c r="R19" s="339">
        <v>885630</v>
      </c>
      <c r="S19" s="339"/>
      <c r="T19" s="339">
        <f t="shared" si="3"/>
        <v>3071130</v>
      </c>
    </row>
    <row r="20" spans="1:21" ht="15.75">
      <c r="A20" s="332" t="s">
        <v>11</v>
      </c>
      <c r="B20" s="332">
        <v>22946</v>
      </c>
      <c r="C20" s="390">
        <v>1280</v>
      </c>
      <c r="D20" s="387">
        <f t="shared" si="2"/>
        <v>9350400</v>
      </c>
      <c r="E20" s="400">
        <f t="shared" si="0"/>
        <v>24226</v>
      </c>
      <c r="F20" s="258">
        <v>1235</v>
      </c>
      <c r="G20" s="238"/>
      <c r="H20" s="387">
        <f t="shared" si="1"/>
        <v>25461</v>
      </c>
      <c r="I20" s="387"/>
      <c r="J20" s="400"/>
      <c r="K20" s="387"/>
      <c r="L20" s="387"/>
      <c r="M20" s="339"/>
      <c r="N20" s="390">
        <v>685000</v>
      </c>
      <c r="O20" s="387">
        <v>493600</v>
      </c>
      <c r="P20" s="387">
        <v>0</v>
      </c>
      <c r="Q20" s="390"/>
      <c r="R20" s="339">
        <v>9267860</v>
      </c>
      <c r="S20" s="339"/>
      <c r="T20" s="339">
        <f t="shared" si="3"/>
        <v>19796860</v>
      </c>
      <c r="U20" s="504"/>
    </row>
    <row r="21" spans="1:21" ht="15.75">
      <c r="A21" s="332" t="s">
        <v>12</v>
      </c>
      <c r="B21" s="332">
        <v>16123</v>
      </c>
      <c r="C21" s="390">
        <v>782</v>
      </c>
      <c r="D21" s="387">
        <f t="shared" si="2"/>
        <v>5712500</v>
      </c>
      <c r="E21" s="400">
        <f t="shared" si="0"/>
        <v>16905</v>
      </c>
      <c r="F21" s="258">
        <v>754</v>
      </c>
      <c r="G21" s="238"/>
      <c r="H21" s="387">
        <f t="shared" si="1"/>
        <v>17659</v>
      </c>
      <c r="I21" s="387"/>
      <c r="J21" s="400"/>
      <c r="K21" s="387"/>
      <c r="L21" s="387"/>
      <c r="M21" s="339"/>
      <c r="N21" s="390">
        <v>490000</v>
      </c>
      <c r="O21" s="387">
        <v>376300</v>
      </c>
      <c r="P21" s="387">
        <v>0</v>
      </c>
      <c r="Q21" s="390"/>
      <c r="R21" s="339">
        <v>6374210</v>
      </c>
      <c r="S21" s="339"/>
      <c r="T21" s="339">
        <f t="shared" si="3"/>
        <v>12953010</v>
      </c>
      <c r="U21" s="504"/>
    </row>
    <row r="22" spans="1:21" ht="15.75">
      <c r="A22" s="332" t="s">
        <v>13</v>
      </c>
      <c r="B22" s="332">
        <v>20482</v>
      </c>
      <c r="C22" s="390">
        <v>1143</v>
      </c>
      <c r="D22" s="387">
        <f t="shared" si="2"/>
        <v>8349600</v>
      </c>
      <c r="E22" s="400">
        <f t="shared" si="0"/>
        <v>21625</v>
      </c>
      <c r="F22" s="258">
        <v>1102</v>
      </c>
      <c r="G22" s="238"/>
      <c r="H22" s="387">
        <f t="shared" si="1"/>
        <v>22727</v>
      </c>
      <c r="I22" s="387"/>
      <c r="J22" s="400"/>
      <c r="K22" s="387"/>
      <c r="L22" s="387"/>
      <c r="M22" s="339"/>
      <c r="N22" s="390">
        <v>604000</v>
      </c>
      <c r="O22" s="387">
        <v>360900</v>
      </c>
      <c r="P22" s="387">
        <v>0</v>
      </c>
      <c r="Q22" s="390"/>
      <c r="R22" s="339">
        <v>7854570</v>
      </c>
      <c r="S22" s="339"/>
      <c r="T22" s="339">
        <f t="shared" si="3"/>
        <v>17169070</v>
      </c>
      <c r="U22" s="504"/>
    </row>
    <row r="23" spans="1:21" ht="15.75">
      <c r="A23" s="332" t="s">
        <v>14</v>
      </c>
      <c r="B23" s="332">
        <v>13046</v>
      </c>
      <c r="C23" s="390">
        <v>632</v>
      </c>
      <c r="D23" s="387">
        <f t="shared" si="2"/>
        <v>4616800</v>
      </c>
      <c r="E23" s="400">
        <f t="shared" si="0"/>
        <v>13678</v>
      </c>
      <c r="F23" s="258">
        <v>611</v>
      </c>
      <c r="G23" s="238"/>
      <c r="H23" s="387">
        <f t="shared" si="1"/>
        <v>14289</v>
      </c>
      <c r="I23" s="387"/>
      <c r="J23" s="400"/>
      <c r="K23" s="387"/>
      <c r="L23" s="387"/>
      <c r="M23" s="339"/>
      <c r="N23" s="390">
        <v>378000</v>
      </c>
      <c r="O23" s="387">
        <v>300500</v>
      </c>
      <c r="P23" s="387">
        <v>160500</v>
      </c>
      <c r="Q23" s="390"/>
      <c r="R23" s="339">
        <v>4822250</v>
      </c>
      <c r="S23" s="339"/>
      <c r="T23" s="339">
        <f t="shared" si="3"/>
        <v>10278050</v>
      </c>
      <c r="U23" s="504"/>
    </row>
    <row r="24" spans="1:21" ht="15.75">
      <c r="A24" s="332" t="s">
        <v>15</v>
      </c>
      <c r="B24" s="332">
        <v>25233</v>
      </c>
      <c r="C24" s="390">
        <v>1408</v>
      </c>
      <c r="D24" s="387">
        <f t="shared" si="2"/>
        <v>10285400</v>
      </c>
      <c r="E24" s="400">
        <f t="shared" si="0"/>
        <v>26641</v>
      </c>
      <c r="F24" s="258">
        <v>1358</v>
      </c>
      <c r="G24" s="238"/>
      <c r="H24" s="387">
        <f t="shared" si="1"/>
        <v>27999</v>
      </c>
      <c r="I24" s="387"/>
      <c r="J24" s="400"/>
      <c r="K24" s="387"/>
      <c r="L24" s="387"/>
      <c r="M24" s="339"/>
      <c r="N24" s="390">
        <v>805000</v>
      </c>
      <c r="O24" s="387">
        <v>588500</v>
      </c>
      <c r="P24" s="387">
        <v>53700</v>
      </c>
      <c r="Q24" s="390"/>
      <c r="R24" s="339">
        <v>10367390</v>
      </c>
      <c r="S24" s="339"/>
      <c r="T24" s="339">
        <f t="shared" si="3"/>
        <v>22099990</v>
      </c>
      <c r="U24" s="504"/>
    </row>
    <row r="25" spans="1:21" ht="15.75">
      <c r="A25" s="332" t="s">
        <v>16</v>
      </c>
      <c r="B25" s="332">
        <v>20879</v>
      </c>
      <c r="C25" s="390">
        <v>1165</v>
      </c>
      <c r="D25" s="387">
        <f t="shared" si="2"/>
        <v>8510300</v>
      </c>
      <c r="E25" s="400">
        <f t="shared" si="0"/>
        <v>22044</v>
      </c>
      <c r="F25" s="258">
        <v>1124</v>
      </c>
      <c r="G25" s="238"/>
      <c r="H25" s="387">
        <f t="shared" si="1"/>
        <v>23168</v>
      </c>
      <c r="I25" s="387"/>
      <c r="J25" s="400"/>
      <c r="K25" s="387"/>
      <c r="L25" s="387"/>
      <c r="M25" s="339"/>
      <c r="N25" s="390">
        <v>627000</v>
      </c>
      <c r="O25" s="387">
        <v>417000</v>
      </c>
      <c r="P25" s="387">
        <v>77800</v>
      </c>
      <c r="Q25" s="390"/>
      <c r="R25" s="339">
        <v>8279550</v>
      </c>
      <c r="S25" s="339"/>
      <c r="T25" s="339">
        <f t="shared" si="3"/>
        <v>17911650</v>
      </c>
      <c r="U25" s="504"/>
    </row>
    <row r="26" spans="1:21" ht="15.75">
      <c r="A26" s="332" t="s">
        <v>17</v>
      </c>
      <c r="B26" s="332">
        <v>20027</v>
      </c>
      <c r="C26" s="390">
        <v>1118</v>
      </c>
      <c r="D26" s="387">
        <f t="shared" si="2"/>
        <v>8167000</v>
      </c>
      <c r="E26" s="400">
        <f t="shared" si="0"/>
        <v>21145</v>
      </c>
      <c r="F26" s="258">
        <v>1077</v>
      </c>
      <c r="G26" s="238"/>
      <c r="H26" s="387">
        <f t="shared" si="1"/>
        <v>22222</v>
      </c>
      <c r="I26" s="387"/>
      <c r="J26" s="400"/>
      <c r="K26" s="387"/>
      <c r="L26" s="387"/>
      <c r="M26" s="339"/>
      <c r="N26" s="390">
        <v>618000</v>
      </c>
      <c r="O26" s="387">
        <v>528700</v>
      </c>
      <c r="P26" s="387">
        <v>0</v>
      </c>
      <c r="Q26" s="390"/>
      <c r="R26" s="339">
        <v>8124590</v>
      </c>
      <c r="S26" s="339"/>
      <c r="T26" s="339">
        <f t="shared" si="3"/>
        <v>17438290</v>
      </c>
      <c r="U26" s="504"/>
    </row>
    <row r="27" spans="1:21" ht="15.75">
      <c r="A27" s="332" t="s">
        <v>18</v>
      </c>
      <c r="B27" s="332">
        <v>15702</v>
      </c>
      <c r="C27" s="390">
        <v>761</v>
      </c>
      <c r="D27" s="387">
        <f t="shared" si="2"/>
        <v>5559100</v>
      </c>
      <c r="E27" s="400">
        <f t="shared" si="0"/>
        <v>16463</v>
      </c>
      <c r="F27" s="258">
        <v>735</v>
      </c>
      <c r="G27" s="238"/>
      <c r="H27" s="387">
        <f t="shared" si="1"/>
        <v>17198</v>
      </c>
      <c r="I27" s="387"/>
      <c r="J27" s="400"/>
      <c r="K27" s="387"/>
      <c r="L27" s="387"/>
      <c r="M27" s="339"/>
      <c r="N27" s="390">
        <v>562000</v>
      </c>
      <c r="O27" s="387">
        <v>432500</v>
      </c>
      <c r="P27" s="387">
        <v>106100</v>
      </c>
      <c r="Q27" s="390"/>
      <c r="R27" s="339">
        <v>6378890</v>
      </c>
      <c r="S27" s="339"/>
      <c r="T27" s="339">
        <f t="shared" si="3"/>
        <v>13038590</v>
      </c>
      <c r="U27" s="504"/>
    </row>
    <row r="28" spans="1:21" ht="15.75">
      <c r="A28" s="332" t="s">
        <v>19</v>
      </c>
      <c r="B28" s="332">
        <v>6846</v>
      </c>
      <c r="C28" s="390">
        <v>209</v>
      </c>
      <c r="D28" s="387">
        <f t="shared" si="2"/>
        <v>1526700</v>
      </c>
      <c r="E28" s="400">
        <f t="shared" si="0"/>
        <v>7055</v>
      </c>
      <c r="F28" s="258">
        <v>203</v>
      </c>
      <c r="G28" s="238"/>
      <c r="H28" s="387">
        <f t="shared" si="1"/>
        <v>7258</v>
      </c>
      <c r="I28" s="387"/>
      <c r="J28" s="400"/>
      <c r="K28" s="387"/>
      <c r="L28" s="387"/>
      <c r="M28" s="339"/>
      <c r="N28" s="390">
        <v>227000</v>
      </c>
      <c r="O28" s="387">
        <v>168800</v>
      </c>
      <c r="P28" s="387">
        <v>1036300</v>
      </c>
      <c r="Q28" s="390"/>
      <c r="R28" s="339">
        <v>2374980</v>
      </c>
      <c r="S28" s="339"/>
      <c r="T28" s="339">
        <f t="shared" si="3"/>
        <v>5333780</v>
      </c>
      <c r="U28" s="504"/>
    </row>
    <row r="29" spans="1:21" ht="15.75">
      <c r="A29" s="332" t="s">
        <v>20</v>
      </c>
      <c r="B29" s="332">
        <v>7050</v>
      </c>
      <c r="C29" s="390">
        <v>216</v>
      </c>
      <c r="D29" s="387">
        <f t="shared" si="2"/>
        <v>1577900</v>
      </c>
      <c r="E29" s="400">
        <f t="shared" si="0"/>
        <v>7266</v>
      </c>
      <c r="F29" s="258">
        <v>208</v>
      </c>
      <c r="G29" s="238"/>
      <c r="H29" s="387">
        <f t="shared" si="1"/>
        <v>7474</v>
      </c>
      <c r="I29" s="387"/>
      <c r="J29" s="400"/>
      <c r="K29" s="387"/>
      <c r="L29" s="387"/>
      <c r="M29" s="339"/>
      <c r="N29" s="390">
        <v>257000</v>
      </c>
      <c r="O29" s="387">
        <v>173000</v>
      </c>
      <c r="P29" s="387">
        <v>0</v>
      </c>
      <c r="Q29" s="390"/>
      <c r="R29" s="339">
        <v>2292920</v>
      </c>
      <c r="S29" s="339"/>
      <c r="T29" s="339">
        <f t="shared" si="3"/>
        <v>4300820</v>
      </c>
      <c r="U29" s="504"/>
    </row>
    <row r="30" spans="1:21" ht="15.75">
      <c r="A30" s="332" t="s">
        <v>21</v>
      </c>
      <c r="B30" s="332">
        <v>6665</v>
      </c>
      <c r="C30" s="390">
        <v>204</v>
      </c>
      <c r="D30" s="387">
        <f t="shared" si="2"/>
        <v>1490200</v>
      </c>
      <c r="E30" s="400">
        <f t="shared" si="0"/>
        <v>6869</v>
      </c>
      <c r="F30" s="258">
        <v>197</v>
      </c>
      <c r="G30" s="238"/>
      <c r="H30" s="387">
        <f t="shared" si="1"/>
        <v>7066</v>
      </c>
      <c r="I30" s="387"/>
      <c r="J30" s="400"/>
      <c r="K30" s="387"/>
      <c r="L30" s="387"/>
      <c r="M30" s="339"/>
      <c r="N30" s="390">
        <v>236000</v>
      </c>
      <c r="O30" s="387">
        <v>178200</v>
      </c>
      <c r="P30" s="387">
        <v>0</v>
      </c>
      <c r="Q30" s="390"/>
      <c r="R30" s="339">
        <v>2221530</v>
      </c>
      <c r="S30" s="339"/>
      <c r="T30" s="339">
        <f t="shared" si="3"/>
        <v>4125930</v>
      </c>
      <c r="U30" s="504"/>
    </row>
    <row r="31" spans="1:21" ht="9" customHeight="1">
      <c r="A31" s="332"/>
      <c r="B31" s="332"/>
      <c r="C31" s="390"/>
      <c r="D31" s="387"/>
      <c r="E31" s="400"/>
      <c r="F31" s="390"/>
      <c r="G31" s="387"/>
      <c r="H31" s="387"/>
      <c r="I31" s="387"/>
      <c r="J31" s="400"/>
      <c r="K31" s="387"/>
      <c r="L31" s="387"/>
      <c r="M31" s="339"/>
      <c r="N31" s="390"/>
      <c r="O31" s="387"/>
      <c r="P31" s="387"/>
      <c r="Q31" s="390"/>
      <c r="R31" s="339"/>
      <c r="S31" s="339"/>
      <c r="T31" s="339"/>
      <c r="U31" s="504"/>
    </row>
    <row r="32" spans="1:21" ht="15.75">
      <c r="A32" s="391" t="s">
        <v>22</v>
      </c>
      <c r="B32" s="391">
        <f>SUM(B8:B31)</f>
        <v>308951</v>
      </c>
      <c r="C32" s="401">
        <f>SUM(C8:C31)</f>
        <v>15043</v>
      </c>
      <c r="D32" s="340">
        <f>SUM(D8:D30)</f>
        <v>109889000</v>
      </c>
      <c r="E32" s="409">
        <f>SUM(E8:E31)</f>
        <v>323994</v>
      </c>
      <c r="F32" s="401">
        <f>SUM(F8:F30)</f>
        <v>14513</v>
      </c>
      <c r="G32" s="392"/>
      <c r="H32" s="392">
        <f>SUM(H8:H30)</f>
        <v>338507</v>
      </c>
      <c r="I32" s="392"/>
      <c r="J32" s="521">
        <f>SUM(J8:J30)</f>
        <v>0</v>
      </c>
      <c r="K32" s="392">
        <f>SUM(K8:K30)</f>
        <v>930</v>
      </c>
      <c r="L32" s="340">
        <f>SUM(L8:L30)</f>
        <v>6793650</v>
      </c>
      <c r="M32" s="340"/>
      <c r="N32" s="393">
        <f>SUM(N8:N31)</f>
        <v>9698000</v>
      </c>
      <c r="O32" s="340">
        <f>SUM(O8:O31)</f>
        <v>7228000</v>
      </c>
      <c r="P32" s="340">
        <f>SUM(P8:P30)</f>
        <v>6565000</v>
      </c>
      <c r="Q32" s="393"/>
      <c r="R32" s="340">
        <f>SUM(R8:R31)</f>
        <v>117638950</v>
      </c>
      <c r="S32" s="340"/>
      <c r="T32" s="340">
        <f>SUM(T8:T31)</f>
        <v>257812600</v>
      </c>
      <c r="U32" s="504"/>
    </row>
    <row r="33" spans="1:21" ht="9" customHeight="1">
      <c r="A33" s="332"/>
      <c r="B33" s="332"/>
      <c r="C33" s="390"/>
      <c r="D33" s="387"/>
      <c r="E33" s="400"/>
      <c r="F33" s="390"/>
      <c r="G33" s="387"/>
      <c r="H33" s="387"/>
      <c r="I33" s="387"/>
      <c r="J33" s="400"/>
      <c r="K33" s="387"/>
      <c r="L33" s="387"/>
      <c r="M33" s="339"/>
      <c r="N33" s="390"/>
      <c r="O33" s="387"/>
      <c r="P33" s="387"/>
      <c r="Q33" s="390"/>
      <c r="R33" s="339"/>
      <c r="S33" s="339"/>
      <c r="T33" s="339"/>
      <c r="U33" s="504"/>
    </row>
    <row r="34" spans="1:21" ht="15.75">
      <c r="A34" s="330" t="s">
        <v>23</v>
      </c>
      <c r="B34" s="332">
        <v>0</v>
      </c>
      <c r="C34" s="390">
        <v>0</v>
      </c>
      <c r="D34" s="387">
        <v>0</v>
      </c>
      <c r="E34" s="400">
        <f>B34+C34</f>
        <v>0</v>
      </c>
      <c r="F34" s="390">
        <v>0</v>
      </c>
      <c r="G34" s="387"/>
      <c r="H34" s="387">
        <f>E34+F34</f>
        <v>0</v>
      </c>
      <c r="I34" s="387"/>
      <c r="J34" s="400"/>
      <c r="K34" s="387"/>
      <c r="L34" s="387"/>
      <c r="M34" s="339"/>
      <c r="N34" s="390">
        <v>144000</v>
      </c>
      <c r="O34" s="387">
        <v>0</v>
      </c>
      <c r="P34" s="387">
        <v>0</v>
      </c>
      <c r="Q34" s="390"/>
      <c r="R34" s="339">
        <v>1389500</v>
      </c>
      <c r="S34" s="339"/>
      <c r="T34" s="339">
        <f>D34+J34+L34+N34+O34+P34+R34</f>
        <v>1533500</v>
      </c>
      <c r="U34" s="504"/>
    </row>
    <row r="35" spans="1:21" ht="15.75">
      <c r="A35" s="330" t="s">
        <v>32</v>
      </c>
      <c r="B35" s="332">
        <v>665</v>
      </c>
      <c r="C35" s="390">
        <v>0</v>
      </c>
      <c r="D35" s="387">
        <v>0</v>
      </c>
      <c r="E35" s="400">
        <f>B35+C35</f>
        <v>665</v>
      </c>
      <c r="F35" s="390">
        <v>0</v>
      </c>
      <c r="G35" s="387"/>
      <c r="H35" s="387">
        <f>E35+F35</f>
        <v>665</v>
      </c>
      <c r="I35" s="387"/>
      <c r="J35" s="400"/>
      <c r="K35" s="387"/>
      <c r="L35" s="387"/>
      <c r="M35" s="339"/>
      <c r="N35" s="390">
        <v>0</v>
      </c>
      <c r="O35" s="387">
        <v>0</v>
      </c>
      <c r="P35" s="387">
        <v>0</v>
      </c>
      <c r="Q35" s="390"/>
      <c r="R35" s="339">
        <v>0</v>
      </c>
      <c r="S35" s="339"/>
      <c r="T35" s="339">
        <f>D35+J35+L35+N35+O35+P35+R35</f>
        <v>0</v>
      </c>
      <c r="U35" s="504"/>
    </row>
    <row r="36" spans="1:21" ht="15.75">
      <c r="A36" s="330" t="s">
        <v>24</v>
      </c>
      <c r="B36" s="332">
        <v>650</v>
      </c>
      <c r="C36" s="390">
        <v>0</v>
      </c>
      <c r="D36" s="387">
        <v>0</v>
      </c>
      <c r="E36" s="400">
        <f>B36+C36</f>
        <v>650</v>
      </c>
      <c r="F36" s="390">
        <v>0</v>
      </c>
      <c r="G36" s="387"/>
      <c r="H36" s="387">
        <f>E36+F36</f>
        <v>650</v>
      </c>
      <c r="I36" s="387"/>
      <c r="J36" s="400"/>
      <c r="K36" s="387"/>
      <c r="L36" s="387"/>
      <c r="M36" s="339"/>
      <c r="N36" s="390">
        <v>0</v>
      </c>
      <c r="O36" s="387">
        <v>0</v>
      </c>
      <c r="P36" s="387">
        <v>0</v>
      </c>
      <c r="Q36" s="390"/>
      <c r="R36" s="339">
        <v>0</v>
      </c>
      <c r="S36" s="339"/>
      <c r="T36" s="339">
        <f>D36+J36+L36+N36+O36+P36+R36</f>
        <v>0</v>
      </c>
      <c r="U36" s="504"/>
    </row>
    <row r="37" spans="1:21" ht="15.75">
      <c r="A37" s="330" t="s">
        <v>25</v>
      </c>
      <c r="B37" s="332">
        <v>51</v>
      </c>
      <c r="C37" s="390">
        <v>0</v>
      </c>
      <c r="D37" s="387">
        <v>0</v>
      </c>
      <c r="E37" s="400">
        <f>B37+C37</f>
        <v>51</v>
      </c>
      <c r="F37" s="390">
        <v>0</v>
      </c>
      <c r="G37" s="387"/>
      <c r="H37" s="387">
        <f>E37+F37</f>
        <v>51</v>
      </c>
      <c r="I37" s="387"/>
      <c r="J37" s="400"/>
      <c r="K37" s="387"/>
      <c r="L37" s="387"/>
      <c r="M37" s="339"/>
      <c r="N37" s="390">
        <v>0</v>
      </c>
      <c r="O37" s="387">
        <v>0</v>
      </c>
      <c r="P37" s="387">
        <v>0</v>
      </c>
      <c r="Q37" s="390"/>
      <c r="R37" s="339">
        <v>0</v>
      </c>
      <c r="S37" s="339"/>
      <c r="T37" s="339">
        <f>D37+J37+L37+N37+O37+P37+R37</f>
        <v>0</v>
      </c>
      <c r="U37" s="504"/>
    </row>
    <row r="38" spans="1:21" ht="15.75">
      <c r="A38" s="404" t="s">
        <v>26</v>
      </c>
      <c r="B38" s="405">
        <v>0</v>
      </c>
      <c r="C38" s="390">
        <v>0</v>
      </c>
      <c r="D38" s="387">
        <v>0</v>
      </c>
      <c r="E38" s="400">
        <f>B38+C38</f>
        <v>0</v>
      </c>
      <c r="F38" s="390">
        <v>0</v>
      </c>
      <c r="G38" s="387"/>
      <c r="H38" s="387">
        <f>E38+F38</f>
        <v>0</v>
      </c>
      <c r="I38" s="387"/>
      <c r="J38" s="400">
        <v>106017500</v>
      </c>
      <c r="K38" s="387"/>
      <c r="L38" s="387"/>
      <c r="M38" s="387"/>
      <c r="N38" s="390">
        <v>0</v>
      </c>
      <c r="O38" s="387">
        <v>0</v>
      </c>
      <c r="P38" s="387">
        <v>0</v>
      </c>
      <c r="Q38" s="390"/>
      <c r="R38" s="387">
        <f>741270-1</f>
        <v>741269</v>
      </c>
      <c r="S38" s="387"/>
      <c r="T38" s="387">
        <f>D38+J38+L38+N38+O38+P38+R38</f>
        <v>106758769</v>
      </c>
      <c r="U38" s="504"/>
    </row>
    <row r="39" spans="1:21" ht="15.75">
      <c r="A39" s="406"/>
      <c r="B39" s="406"/>
      <c r="C39" s="408"/>
      <c r="D39" s="407"/>
      <c r="E39" s="402"/>
      <c r="F39" s="408"/>
      <c r="G39" s="407"/>
      <c r="H39" s="407"/>
      <c r="I39" s="407"/>
      <c r="J39" s="402"/>
      <c r="K39" s="407"/>
      <c r="L39" s="407"/>
      <c r="M39" s="407"/>
      <c r="N39" s="408"/>
      <c r="O39" s="407"/>
      <c r="P39" s="407"/>
      <c r="Q39" s="408"/>
      <c r="R39" s="407"/>
      <c r="S39" s="407"/>
      <c r="T39" s="407"/>
      <c r="U39" s="504"/>
    </row>
    <row r="40" spans="1:21" ht="16.5" thickBot="1">
      <c r="A40" s="394" t="s">
        <v>27</v>
      </c>
      <c r="B40" s="394">
        <f>SUM(B32:B39)</f>
        <v>310317</v>
      </c>
      <c r="C40" s="403">
        <f>SUM(C32:C38)</f>
        <v>15043</v>
      </c>
      <c r="D40" s="341">
        <f>SUM(D32:D38)</f>
        <v>109889000</v>
      </c>
      <c r="E40" s="395">
        <f>SUM(E32:E39)</f>
        <v>325360</v>
      </c>
      <c r="F40" s="403">
        <f>SUM(F32:F38)</f>
        <v>14513</v>
      </c>
      <c r="G40" s="395"/>
      <c r="H40" s="395">
        <f>SUM(H32:H38)</f>
        <v>339873</v>
      </c>
      <c r="I40" s="395"/>
      <c r="J40" s="520">
        <f>SUM(J32:J38)</f>
        <v>106017500</v>
      </c>
      <c r="K40" s="395">
        <f>SUM(K32:K38)</f>
        <v>930</v>
      </c>
      <c r="L40" s="341">
        <f>SUM(L32:L38)</f>
        <v>6793650</v>
      </c>
      <c r="M40" s="341"/>
      <c r="N40" s="396">
        <f>SUM(N32:N38)</f>
        <v>9842000</v>
      </c>
      <c r="O40" s="341">
        <f>SUM(O32:O38)</f>
        <v>7228000</v>
      </c>
      <c r="P40" s="341">
        <f>SUM(P32:P38)</f>
        <v>6565000</v>
      </c>
      <c r="Q40" s="396"/>
      <c r="R40" s="341">
        <f>SUM(R32:R38)</f>
        <v>119769719</v>
      </c>
      <c r="S40" s="341"/>
      <c r="T40" s="341">
        <f>SUM(T32:T38)</f>
        <v>366104869</v>
      </c>
      <c r="U40" s="504"/>
    </row>
    <row r="41" spans="4:21" ht="9" customHeight="1">
      <c r="D41" s="504"/>
      <c r="E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</row>
    <row r="42" spans="1:21" ht="18" customHeight="1">
      <c r="A42" s="332" t="s">
        <v>194</v>
      </c>
      <c r="D42" s="504"/>
      <c r="E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</row>
    <row r="43" spans="1:21" ht="18">
      <c r="A43" s="332" t="s">
        <v>184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</row>
    <row r="44" spans="3:21" ht="15.75"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</row>
    <row r="45" spans="3:21" ht="15.75"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</row>
    <row r="46" spans="3:21" ht="15.75"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</row>
    <row r="47" spans="3:21" ht="15.75"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</row>
    <row r="48" spans="3:21" ht="15.75"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</row>
    <row r="49" spans="3:21" ht="15.75"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</row>
    <row r="50" spans="1:2" ht="15.75">
      <c r="A50" s="497"/>
      <c r="B50" s="497"/>
    </row>
    <row r="51" spans="1:2" ht="15.75">
      <c r="A51" s="497"/>
      <c r="B51" s="497"/>
    </row>
    <row r="52" spans="1:2" ht="15.75">
      <c r="A52" s="497"/>
      <c r="B52" s="497"/>
    </row>
    <row r="53" spans="1:2" ht="15.75">
      <c r="A53" s="497"/>
      <c r="B53" s="497"/>
    </row>
    <row r="54" spans="1:2" ht="15.75">
      <c r="A54" s="497"/>
      <c r="B54" s="497"/>
    </row>
    <row r="55" spans="1:2" ht="15.75">
      <c r="A55" s="505"/>
      <c r="B55" s="505"/>
    </row>
    <row r="56" spans="1:2" ht="15.75">
      <c r="A56" s="497"/>
      <c r="B56" s="497"/>
    </row>
    <row r="57" spans="1:2" ht="15.75">
      <c r="A57" s="497"/>
      <c r="B57" s="497"/>
    </row>
    <row r="58" spans="1:2" ht="15.75">
      <c r="A58" s="497"/>
      <c r="B58" s="497"/>
    </row>
    <row r="59" spans="1:2" ht="15.75">
      <c r="A59" s="497"/>
      <c r="B59" s="497"/>
    </row>
    <row r="60" spans="1:2" ht="15.75">
      <c r="A60" s="497"/>
      <c r="B60" s="497"/>
    </row>
    <row r="61" spans="1:2" ht="15.75">
      <c r="A61" s="497"/>
      <c r="B61" s="497"/>
    </row>
    <row r="62" spans="1:2" ht="15.75">
      <c r="A62" s="497"/>
      <c r="B62" s="497"/>
    </row>
    <row r="63" spans="1:2" ht="15.75">
      <c r="A63" s="505"/>
      <c r="B63" s="505"/>
    </row>
    <row r="64" spans="1:2" ht="15.75">
      <c r="A64" s="497"/>
      <c r="B64" s="497"/>
    </row>
    <row r="65" spans="1:2" ht="15.75">
      <c r="A65" s="497"/>
      <c r="B65" s="497"/>
    </row>
    <row r="66" spans="1:2" ht="15.75">
      <c r="A66" s="497"/>
      <c r="B66" s="497"/>
    </row>
    <row r="67" spans="1:2" ht="15.75">
      <c r="A67" s="497"/>
      <c r="B67" s="497"/>
    </row>
    <row r="68" spans="1:2" ht="15.75">
      <c r="A68" s="497"/>
      <c r="B68" s="497"/>
    </row>
    <row r="69" spans="1:2" ht="15.75">
      <c r="A69" s="497"/>
      <c r="B69" s="497"/>
    </row>
  </sheetData>
  <sheetProtection/>
  <mergeCells count="7">
    <mergeCell ref="N4:P4"/>
    <mergeCell ref="N2:R2"/>
    <mergeCell ref="F3:J3"/>
    <mergeCell ref="F5:J5"/>
    <mergeCell ref="C4:L4"/>
    <mergeCell ref="C3:E3"/>
    <mergeCell ref="K3:L3"/>
  </mergeCells>
  <printOptions/>
  <pageMargins left="0.25" right="0.25" top="0.25" bottom="0.5" header="0.3" footer="0.3"/>
  <pageSetup fitToHeight="1" fitToWidth="1" horizontalDpi="600" verticalDpi="600" orientation="landscape" paperSize="5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33" sqref="M33"/>
    </sheetView>
  </sheetViews>
  <sheetFormatPr defaultColWidth="9.33203125" defaultRowHeight="12.75"/>
  <cols>
    <col min="1" max="1" width="24.16015625" style="185" customWidth="1"/>
    <col min="2" max="2" width="13.33203125" style="185" hidden="1" customWidth="1"/>
    <col min="3" max="3" width="1.83203125" style="185" customWidth="1"/>
    <col min="4" max="4" width="16.5" style="185" customWidth="1"/>
    <col min="5" max="5" width="18" style="185" bestFit="1" customWidth="1"/>
    <col min="6" max="6" width="16.5" style="185" customWidth="1"/>
    <col min="7" max="7" width="4" style="204" customWidth="1"/>
    <col min="8" max="8" width="19.5" style="204" customWidth="1"/>
    <col min="9" max="9" width="3.83203125" style="204" customWidth="1"/>
    <col min="10" max="10" width="16.5" style="204" customWidth="1"/>
    <col min="11" max="11" width="17.33203125" style="204" customWidth="1"/>
    <col min="12" max="12" width="1.83203125" style="204" customWidth="1"/>
    <col min="13" max="16" width="16.5" style="204" customWidth="1"/>
    <col min="17" max="17" width="17.83203125" style="204" customWidth="1"/>
    <col min="18" max="18" width="1.83203125" style="204" customWidth="1"/>
    <col min="19" max="19" width="16.5" style="204" customWidth="1"/>
    <col min="20" max="20" width="17.83203125" style="204" bestFit="1" customWidth="1"/>
    <col min="21" max="23" width="16.5" style="204" customWidth="1"/>
    <col min="24" max="24" width="18.33203125" style="204" bestFit="1" customWidth="1"/>
    <col min="25" max="25" width="19.16015625" style="204" customWidth="1"/>
    <col min="26" max="27" width="18.33203125" style="204" customWidth="1"/>
    <col min="28" max="16384" width="9.33203125" style="185" customWidth="1"/>
  </cols>
  <sheetData>
    <row r="1" spans="1:27" s="326" customFormat="1" ht="17.25">
      <c r="A1" s="416"/>
      <c r="B1" s="416"/>
      <c r="C1" s="417" t="s">
        <v>149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7" t="s">
        <v>150</v>
      </c>
      <c r="S1" s="416"/>
      <c r="T1" s="416"/>
      <c r="U1" s="416"/>
      <c r="V1" s="416"/>
      <c r="W1" s="416"/>
      <c r="X1" s="416"/>
      <c r="Y1" s="416"/>
      <c r="Z1" s="416"/>
      <c r="AA1" s="418"/>
    </row>
    <row r="2" spans="1:27" s="201" customFormat="1" ht="19.5">
      <c r="A2" s="419"/>
      <c r="B2" s="419"/>
      <c r="C2" s="420"/>
      <c r="D2" s="421"/>
      <c r="E2" s="421"/>
      <c r="F2" s="421"/>
      <c r="G2" s="421"/>
      <c r="H2" s="422"/>
      <c r="I2" s="422"/>
      <c r="J2" s="422"/>
      <c r="K2" s="422"/>
      <c r="L2" s="421"/>
      <c r="M2" s="421"/>
      <c r="N2" s="421"/>
      <c r="O2" s="422"/>
      <c r="P2" s="422"/>
      <c r="Q2" s="422"/>
      <c r="R2" s="421"/>
      <c r="S2" s="421"/>
      <c r="T2" s="421"/>
      <c r="U2" s="421"/>
      <c r="V2" s="421"/>
      <c r="W2" s="422"/>
      <c r="X2" s="421"/>
      <c r="Y2" s="421"/>
      <c r="Z2" s="421"/>
      <c r="AA2" s="423"/>
    </row>
    <row r="3" spans="1:27" ht="15.75" customHeight="1" thickBot="1">
      <c r="A3" s="424"/>
      <c r="B3" s="425" t="s">
        <v>109</v>
      </c>
      <c r="C3" s="426"/>
      <c r="D3" s="427">
        <v>-1</v>
      </c>
      <c r="E3" s="427">
        <v>-2</v>
      </c>
      <c r="F3" s="427">
        <v>-3</v>
      </c>
      <c r="G3" s="427"/>
      <c r="H3" s="427">
        <v>-4</v>
      </c>
      <c r="I3" s="427"/>
      <c r="J3" s="427">
        <v>-5</v>
      </c>
      <c r="K3" s="427">
        <v>-6</v>
      </c>
      <c r="L3" s="426"/>
      <c r="M3" s="427">
        <v>-7</v>
      </c>
      <c r="N3" s="427">
        <v>-8</v>
      </c>
      <c r="O3" s="427">
        <v>-9</v>
      </c>
      <c r="P3" s="427">
        <v>-10</v>
      </c>
      <c r="Q3" s="427">
        <v>-11</v>
      </c>
      <c r="R3" s="427"/>
      <c r="S3" s="427">
        <v>-12</v>
      </c>
      <c r="T3" s="427">
        <v>-13</v>
      </c>
      <c r="U3" s="427">
        <v>-14</v>
      </c>
      <c r="V3" s="427">
        <v>-15</v>
      </c>
      <c r="W3" s="427">
        <v>-16</v>
      </c>
      <c r="X3" s="427">
        <v>-17</v>
      </c>
      <c r="Y3" s="427">
        <v>-18</v>
      </c>
      <c r="Z3" s="427">
        <v>-19</v>
      </c>
      <c r="AA3" s="427">
        <v>-20</v>
      </c>
    </row>
    <row r="4" spans="1:27" ht="18" thickBot="1">
      <c r="A4" s="428"/>
      <c r="B4" s="428"/>
      <c r="C4" s="559" t="s">
        <v>153</v>
      </c>
      <c r="D4" s="560"/>
      <c r="E4" s="560"/>
      <c r="F4" s="560"/>
      <c r="G4" s="560"/>
      <c r="H4" s="560"/>
      <c r="I4" s="560"/>
      <c r="J4" s="560"/>
      <c r="K4" s="561"/>
      <c r="L4" s="559" t="s">
        <v>154</v>
      </c>
      <c r="M4" s="560"/>
      <c r="N4" s="560"/>
      <c r="O4" s="560"/>
      <c r="P4" s="560"/>
      <c r="Q4" s="561"/>
      <c r="R4" s="562" t="s">
        <v>61</v>
      </c>
      <c r="S4" s="563"/>
      <c r="T4" s="563"/>
      <c r="U4" s="563"/>
      <c r="V4" s="563"/>
      <c r="W4" s="563"/>
      <c r="X4" s="564"/>
      <c r="Y4" s="556" t="s">
        <v>104</v>
      </c>
      <c r="Z4" s="557"/>
      <c r="AA4" s="558"/>
    </row>
    <row r="5" spans="1:27" s="200" customFormat="1" ht="79.5" customHeight="1" thickBot="1">
      <c r="A5" s="429" t="s">
        <v>37</v>
      </c>
      <c r="B5" s="430" t="s">
        <v>108</v>
      </c>
      <c r="C5" s="430"/>
      <c r="D5" s="431" t="s">
        <v>64</v>
      </c>
      <c r="E5" s="432" t="s">
        <v>58</v>
      </c>
      <c r="F5" s="433" t="s">
        <v>114</v>
      </c>
      <c r="G5" s="432"/>
      <c r="H5" s="433" t="s">
        <v>90</v>
      </c>
      <c r="I5" s="433"/>
      <c r="J5" s="434" t="s">
        <v>118</v>
      </c>
      <c r="K5" s="435" t="s">
        <v>121</v>
      </c>
      <c r="L5" s="430"/>
      <c r="M5" s="431" t="s">
        <v>62</v>
      </c>
      <c r="N5" s="433" t="s">
        <v>114</v>
      </c>
      <c r="O5" s="433" t="s">
        <v>91</v>
      </c>
      <c r="P5" s="434" t="s">
        <v>118</v>
      </c>
      <c r="Q5" s="435" t="s">
        <v>121</v>
      </c>
      <c r="R5" s="436"/>
      <c r="S5" s="437" t="s">
        <v>62</v>
      </c>
      <c r="T5" s="434" t="s">
        <v>63</v>
      </c>
      <c r="U5" s="433" t="s">
        <v>114</v>
      </c>
      <c r="V5" s="433" t="s">
        <v>90</v>
      </c>
      <c r="W5" s="434" t="s">
        <v>118</v>
      </c>
      <c r="X5" s="435" t="s">
        <v>121</v>
      </c>
      <c r="Y5" s="438" t="s">
        <v>99</v>
      </c>
      <c r="Z5" s="434" t="s">
        <v>100</v>
      </c>
      <c r="AA5" s="439" t="s">
        <v>101</v>
      </c>
    </row>
    <row r="6" spans="1:27" s="200" customFormat="1" ht="24.75" customHeight="1">
      <c r="A6" s="440"/>
      <c r="B6" s="441"/>
      <c r="C6" s="442"/>
      <c r="D6" s="443"/>
      <c r="E6" s="443"/>
      <c r="F6" s="443"/>
      <c r="G6" s="555" t="s">
        <v>110</v>
      </c>
      <c r="H6" s="555"/>
      <c r="I6" s="555"/>
      <c r="J6" s="443"/>
      <c r="K6" s="444" t="s">
        <v>92</v>
      </c>
      <c r="L6" s="441"/>
      <c r="M6" s="443"/>
      <c r="N6" s="443"/>
      <c r="O6" s="445" t="s">
        <v>89</v>
      </c>
      <c r="P6" s="443"/>
      <c r="Q6" s="446" t="s">
        <v>93</v>
      </c>
      <c r="R6" s="441"/>
      <c r="S6" s="447" t="s">
        <v>94</v>
      </c>
      <c r="T6" s="445" t="s">
        <v>59</v>
      </c>
      <c r="U6" s="447" t="s">
        <v>95</v>
      </c>
      <c r="V6" s="447" t="s">
        <v>96</v>
      </c>
      <c r="W6" s="447" t="s">
        <v>97</v>
      </c>
      <c r="X6" s="448" t="s">
        <v>98</v>
      </c>
      <c r="Y6" s="449" t="s">
        <v>105</v>
      </c>
      <c r="Z6" s="447" t="s">
        <v>102</v>
      </c>
      <c r="AA6" s="450" t="s">
        <v>103</v>
      </c>
    </row>
    <row r="7" spans="1:27" s="200" customFormat="1" ht="6" customHeight="1">
      <c r="A7" s="440"/>
      <c r="B7" s="441"/>
      <c r="C7" s="441"/>
      <c r="D7" s="443"/>
      <c r="E7" s="443"/>
      <c r="F7" s="443"/>
      <c r="G7" s="443"/>
      <c r="H7" s="443"/>
      <c r="I7" s="443"/>
      <c r="J7" s="443"/>
      <c r="K7" s="443"/>
      <c r="L7" s="441"/>
      <c r="M7" s="443"/>
      <c r="N7" s="443"/>
      <c r="O7" s="443"/>
      <c r="P7" s="443"/>
      <c r="Q7" s="451"/>
      <c r="R7" s="441"/>
      <c r="S7" s="443"/>
      <c r="T7" s="443"/>
      <c r="U7" s="443"/>
      <c r="V7" s="443"/>
      <c r="W7" s="443"/>
      <c r="X7" s="451"/>
      <c r="Y7" s="441"/>
      <c r="Z7" s="443"/>
      <c r="AA7" s="451"/>
    </row>
    <row r="8" spans="1:27" ht="15">
      <c r="A8" s="452" t="s">
        <v>0</v>
      </c>
      <c r="B8" s="453">
        <v>6885</v>
      </c>
      <c r="C8" s="454"/>
      <c r="D8" s="455">
        <v>-71000</v>
      </c>
      <c r="E8" s="455">
        <v>-1556000</v>
      </c>
      <c r="F8" s="455">
        <v>277000</v>
      </c>
      <c r="G8" s="455"/>
      <c r="H8" s="455">
        <v>235000</v>
      </c>
      <c r="I8" s="455"/>
      <c r="J8" s="455">
        <v>2759000</v>
      </c>
      <c r="K8" s="456">
        <f aca="true" t="shared" si="0" ref="K8:K30">-ROUND((J8/3)/1000,0)*1000</f>
        <v>-920000</v>
      </c>
      <c r="L8" s="454"/>
      <c r="M8" s="455">
        <v>100000</v>
      </c>
      <c r="N8" s="455">
        <v>9000</v>
      </c>
      <c r="O8" s="455">
        <f aca="true" t="shared" si="1" ref="O8:O19">-ROUND(((N8)/3)/1000,0)*1000</f>
        <v>-3000</v>
      </c>
      <c r="P8" s="455">
        <v>40000</v>
      </c>
      <c r="Q8" s="457">
        <f aca="true" t="shared" si="2" ref="Q8:Q19">-ROUND((P8/3)/1000,0)*1000</f>
        <v>-13000</v>
      </c>
      <c r="R8" s="458"/>
      <c r="S8" s="455">
        <f aca="true" t="shared" si="3" ref="S8:S30">D8+M8</f>
        <v>29000</v>
      </c>
      <c r="T8" s="455">
        <f aca="true" t="shared" si="4" ref="T8:T30">E8</f>
        <v>-1556000</v>
      </c>
      <c r="U8" s="455">
        <f aca="true" t="shared" si="5" ref="U8:U30">F8+N8</f>
        <v>286000</v>
      </c>
      <c r="V8" s="455">
        <f aca="true" t="shared" si="6" ref="V8:V30">H8+O8</f>
        <v>232000</v>
      </c>
      <c r="W8" s="455">
        <f aca="true" t="shared" si="7" ref="W8:W30">J8+P8</f>
        <v>2799000</v>
      </c>
      <c r="X8" s="457">
        <f aca="true" t="shared" si="8" ref="X8:X30">K8+Q8</f>
        <v>-933000</v>
      </c>
      <c r="Y8" s="459">
        <f aca="true" t="shared" si="9" ref="Y8:Y30">S8+T8+U8+W8</f>
        <v>1558000</v>
      </c>
      <c r="Z8" s="460">
        <f aca="true" t="shared" si="10" ref="Z8:Z30">V8+X8</f>
        <v>-701000</v>
      </c>
      <c r="AA8" s="457">
        <f>Y8+Z8</f>
        <v>857000</v>
      </c>
    </row>
    <row r="9" spans="1:27" ht="15">
      <c r="A9" s="461" t="s">
        <v>1</v>
      </c>
      <c r="B9" s="453">
        <v>2467</v>
      </c>
      <c r="C9" s="453"/>
      <c r="D9" s="462">
        <v>-419000</v>
      </c>
      <c r="E9" s="462">
        <v>0</v>
      </c>
      <c r="F9" s="462">
        <v>0</v>
      </c>
      <c r="G9" s="462"/>
      <c r="H9" s="462">
        <v>0</v>
      </c>
      <c r="I9" s="462"/>
      <c r="J9" s="462">
        <v>1089000</v>
      </c>
      <c r="K9" s="463">
        <f t="shared" si="0"/>
        <v>-363000</v>
      </c>
      <c r="L9" s="453"/>
      <c r="M9" s="462">
        <v>2000</v>
      </c>
      <c r="N9" s="462">
        <v>0</v>
      </c>
      <c r="O9" s="462">
        <f t="shared" si="1"/>
        <v>0</v>
      </c>
      <c r="P9" s="462">
        <v>5000</v>
      </c>
      <c r="Q9" s="464">
        <f t="shared" si="2"/>
        <v>-2000</v>
      </c>
      <c r="R9" s="453"/>
      <c r="S9" s="462">
        <f t="shared" si="3"/>
        <v>-417000</v>
      </c>
      <c r="T9" s="462">
        <f t="shared" si="4"/>
        <v>0</v>
      </c>
      <c r="U9" s="462">
        <f t="shared" si="5"/>
        <v>0</v>
      </c>
      <c r="V9" s="462">
        <f>H9+O9</f>
        <v>0</v>
      </c>
      <c r="W9" s="462">
        <f>J9+P9</f>
        <v>1094000</v>
      </c>
      <c r="X9" s="464">
        <f>K9+Q9</f>
        <v>-365000</v>
      </c>
      <c r="Y9" s="465">
        <f>S9+T9+U9+W9</f>
        <v>677000</v>
      </c>
      <c r="Z9" s="466">
        <f t="shared" si="10"/>
        <v>-365000</v>
      </c>
      <c r="AA9" s="464">
        <f aca="true" t="shared" si="11" ref="AA9:AA30">SUM(S9:X9)</f>
        <v>312000</v>
      </c>
    </row>
    <row r="10" spans="1:27" ht="15">
      <c r="A10" s="461" t="s">
        <v>2</v>
      </c>
      <c r="B10" s="453">
        <v>14712</v>
      </c>
      <c r="C10" s="453"/>
      <c r="D10" s="462">
        <v>-439000</v>
      </c>
      <c r="E10" s="462">
        <v>-4980000</v>
      </c>
      <c r="F10" s="462">
        <v>283000</v>
      </c>
      <c r="G10" s="462"/>
      <c r="H10" s="462">
        <v>1012000</v>
      </c>
      <c r="I10" s="462"/>
      <c r="J10" s="462">
        <v>5423000</v>
      </c>
      <c r="K10" s="463">
        <f t="shared" si="0"/>
        <v>-1808000</v>
      </c>
      <c r="L10" s="453"/>
      <c r="M10" s="462">
        <v>-524000</v>
      </c>
      <c r="N10" s="462">
        <v>14000</v>
      </c>
      <c r="O10" s="462">
        <f>-ROUND(((N10)/3)/1000,0)*1000</f>
        <v>-5000</v>
      </c>
      <c r="P10" s="462">
        <v>198000</v>
      </c>
      <c r="Q10" s="464">
        <f>-ROUND((P10/3)/1000,0)*1000</f>
        <v>-66000</v>
      </c>
      <c r="R10" s="453"/>
      <c r="S10" s="462">
        <f>D10+M10</f>
        <v>-963000</v>
      </c>
      <c r="T10" s="462">
        <f>E10</f>
        <v>-4980000</v>
      </c>
      <c r="U10" s="462">
        <f>F10+N10</f>
        <v>297000</v>
      </c>
      <c r="V10" s="462">
        <f>H10+O10</f>
        <v>1007000</v>
      </c>
      <c r="W10" s="462">
        <f>J10+P10</f>
        <v>5621000</v>
      </c>
      <c r="X10" s="464">
        <f t="shared" si="8"/>
        <v>-1874000</v>
      </c>
      <c r="Y10" s="465">
        <f t="shared" si="9"/>
        <v>-25000</v>
      </c>
      <c r="Z10" s="466">
        <f t="shared" si="10"/>
        <v>-867000</v>
      </c>
      <c r="AA10" s="464">
        <f t="shared" si="11"/>
        <v>-892000</v>
      </c>
    </row>
    <row r="11" spans="1:27" ht="15">
      <c r="A11" s="461" t="s">
        <v>3</v>
      </c>
      <c r="B11" s="453">
        <v>9349</v>
      </c>
      <c r="C11" s="453"/>
      <c r="D11" s="462">
        <v>1063000</v>
      </c>
      <c r="E11" s="462">
        <v>-2507000</v>
      </c>
      <c r="F11" s="462">
        <v>1024000</v>
      </c>
      <c r="G11" s="462"/>
      <c r="H11" s="462">
        <v>103000</v>
      </c>
      <c r="I11" s="462"/>
      <c r="J11" s="462">
        <v>4168000</v>
      </c>
      <c r="K11" s="463">
        <f t="shared" si="0"/>
        <v>-1389000</v>
      </c>
      <c r="L11" s="453"/>
      <c r="M11" s="462">
        <v>-96000</v>
      </c>
      <c r="N11" s="462">
        <v>8000</v>
      </c>
      <c r="O11" s="462">
        <f t="shared" si="1"/>
        <v>-3000</v>
      </c>
      <c r="P11" s="462">
        <v>42000</v>
      </c>
      <c r="Q11" s="464">
        <f t="shared" si="2"/>
        <v>-14000</v>
      </c>
      <c r="R11" s="453"/>
      <c r="S11" s="462">
        <f t="shared" si="3"/>
        <v>967000</v>
      </c>
      <c r="T11" s="462">
        <f t="shared" si="4"/>
        <v>-2507000</v>
      </c>
      <c r="U11" s="462">
        <f t="shared" si="5"/>
        <v>1032000</v>
      </c>
      <c r="V11" s="462">
        <f t="shared" si="6"/>
        <v>100000</v>
      </c>
      <c r="W11" s="462">
        <f t="shared" si="7"/>
        <v>4210000</v>
      </c>
      <c r="X11" s="464">
        <f>K11+Q11</f>
        <v>-1403000</v>
      </c>
      <c r="Y11" s="465">
        <f t="shared" si="9"/>
        <v>3702000</v>
      </c>
      <c r="Z11" s="466">
        <f t="shared" si="10"/>
        <v>-1303000</v>
      </c>
      <c r="AA11" s="464">
        <f t="shared" si="11"/>
        <v>2399000</v>
      </c>
    </row>
    <row r="12" spans="1:27" ht="15">
      <c r="A12" s="461" t="s">
        <v>29</v>
      </c>
      <c r="B12" s="453">
        <v>11764</v>
      </c>
      <c r="C12" s="453"/>
      <c r="D12" s="462">
        <v>-2015000</v>
      </c>
      <c r="E12" s="462">
        <v>-4303000</v>
      </c>
      <c r="F12" s="462">
        <v>1478000</v>
      </c>
      <c r="G12" s="462"/>
      <c r="H12" s="462">
        <v>391000</v>
      </c>
      <c r="I12" s="462"/>
      <c r="J12" s="462">
        <v>4197000</v>
      </c>
      <c r="K12" s="463">
        <f>-ROUND((J12/3)/1000,0)*1000</f>
        <v>-1399000</v>
      </c>
      <c r="L12" s="453"/>
      <c r="M12" s="462">
        <v>1562000</v>
      </c>
      <c r="N12" s="462">
        <v>134000</v>
      </c>
      <c r="O12" s="462">
        <f t="shared" si="1"/>
        <v>-45000</v>
      </c>
      <c r="P12" s="462">
        <v>412000</v>
      </c>
      <c r="Q12" s="464">
        <f t="shared" si="2"/>
        <v>-137000</v>
      </c>
      <c r="R12" s="453"/>
      <c r="S12" s="462">
        <f t="shared" si="3"/>
        <v>-453000</v>
      </c>
      <c r="T12" s="462">
        <f t="shared" si="4"/>
        <v>-4303000</v>
      </c>
      <c r="U12" s="462">
        <f t="shared" si="5"/>
        <v>1612000</v>
      </c>
      <c r="V12" s="462">
        <f t="shared" si="6"/>
        <v>346000</v>
      </c>
      <c r="W12" s="462">
        <f t="shared" si="7"/>
        <v>4609000</v>
      </c>
      <c r="X12" s="464">
        <f t="shared" si="8"/>
        <v>-1536000</v>
      </c>
      <c r="Y12" s="465">
        <f t="shared" si="9"/>
        <v>1465000</v>
      </c>
      <c r="Z12" s="466">
        <f t="shared" si="10"/>
        <v>-1190000</v>
      </c>
      <c r="AA12" s="464">
        <f t="shared" si="11"/>
        <v>275000</v>
      </c>
    </row>
    <row r="13" spans="1:27" ht="15">
      <c r="A13" s="461" t="s">
        <v>4</v>
      </c>
      <c r="B13" s="453">
        <v>18185</v>
      </c>
      <c r="C13" s="453"/>
      <c r="D13" s="462">
        <v>-1183000</v>
      </c>
      <c r="E13" s="462">
        <v>-6556000</v>
      </c>
      <c r="F13" s="462">
        <v>305000</v>
      </c>
      <c r="G13" s="462"/>
      <c r="H13" s="462">
        <v>1265000</v>
      </c>
      <c r="I13" s="462"/>
      <c r="J13" s="462">
        <v>7215000</v>
      </c>
      <c r="K13" s="463">
        <f t="shared" si="0"/>
        <v>-2405000</v>
      </c>
      <c r="L13" s="453"/>
      <c r="M13" s="462">
        <v>-490000</v>
      </c>
      <c r="N13" s="462">
        <v>18000</v>
      </c>
      <c r="O13" s="462">
        <f t="shared" si="1"/>
        <v>-6000</v>
      </c>
      <c r="P13" s="462">
        <v>248000</v>
      </c>
      <c r="Q13" s="464">
        <f t="shared" si="2"/>
        <v>-83000</v>
      </c>
      <c r="R13" s="453"/>
      <c r="S13" s="462">
        <f t="shared" si="3"/>
        <v>-1673000</v>
      </c>
      <c r="T13" s="462">
        <f t="shared" si="4"/>
        <v>-6556000</v>
      </c>
      <c r="U13" s="462">
        <f t="shared" si="5"/>
        <v>323000</v>
      </c>
      <c r="V13" s="462">
        <f t="shared" si="6"/>
        <v>1259000</v>
      </c>
      <c r="W13" s="462">
        <f t="shared" si="7"/>
        <v>7463000</v>
      </c>
      <c r="X13" s="464">
        <f t="shared" si="8"/>
        <v>-2488000</v>
      </c>
      <c r="Y13" s="465">
        <f t="shared" si="9"/>
        <v>-443000</v>
      </c>
      <c r="Z13" s="466">
        <f t="shared" si="10"/>
        <v>-1229000</v>
      </c>
      <c r="AA13" s="464">
        <f t="shared" si="11"/>
        <v>-1672000</v>
      </c>
    </row>
    <row r="14" spans="1:27" ht="15">
      <c r="A14" s="461" t="s">
        <v>5</v>
      </c>
      <c r="B14" s="453">
        <v>27190</v>
      </c>
      <c r="C14" s="453"/>
      <c r="D14" s="462">
        <v>49000</v>
      </c>
      <c r="E14" s="462">
        <v>-12359000</v>
      </c>
      <c r="F14" s="462">
        <v>2802000</v>
      </c>
      <c r="G14" s="462"/>
      <c r="H14" s="462">
        <v>1395000</v>
      </c>
      <c r="I14" s="462"/>
      <c r="J14" s="462">
        <v>10964000</v>
      </c>
      <c r="K14" s="463">
        <f t="shared" si="0"/>
        <v>-3655000</v>
      </c>
      <c r="L14" s="453"/>
      <c r="M14" s="462">
        <v>-61000</v>
      </c>
      <c r="N14" s="462">
        <v>123000</v>
      </c>
      <c r="O14" s="462">
        <f t="shared" si="1"/>
        <v>-41000</v>
      </c>
      <c r="P14" s="462">
        <v>448000</v>
      </c>
      <c r="Q14" s="464">
        <f t="shared" si="2"/>
        <v>-149000</v>
      </c>
      <c r="R14" s="453"/>
      <c r="S14" s="462">
        <f t="shared" si="3"/>
        <v>-12000</v>
      </c>
      <c r="T14" s="462">
        <f t="shared" si="4"/>
        <v>-12359000</v>
      </c>
      <c r="U14" s="462">
        <f t="shared" si="5"/>
        <v>2925000</v>
      </c>
      <c r="V14" s="462">
        <f t="shared" si="6"/>
        <v>1354000</v>
      </c>
      <c r="W14" s="462">
        <f t="shared" si="7"/>
        <v>11412000</v>
      </c>
      <c r="X14" s="464">
        <f t="shared" si="8"/>
        <v>-3804000</v>
      </c>
      <c r="Y14" s="465">
        <f t="shared" si="9"/>
        <v>1966000</v>
      </c>
      <c r="Z14" s="466">
        <f t="shared" si="10"/>
        <v>-2450000</v>
      </c>
      <c r="AA14" s="464">
        <f t="shared" si="11"/>
        <v>-484000</v>
      </c>
    </row>
    <row r="15" spans="1:27" ht="15">
      <c r="A15" s="461" t="s">
        <v>6</v>
      </c>
      <c r="B15" s="453">
        <v>7034</v>
      </c>
      <c r="C15" s="453"/>
      <c r="D15" s="462">
        <v>-787000</v>
      </c>
      <c r="E15" s="462">
        <v>-1505000</v>
      </c>
      <c r="F15" s="462">
        <v>117000</v>
      </c>
      <c r="G15" s="462"/>
      <c r="H15" s="462">
        <v>295000</v>
      </c>
      <c r="I15" s="462"/>
      <c r="J15" s="462">
        <v>2700000</v>
      </c>
      <c r="K15" s="463">
        <f t="shared" si="0"/>
        <v>-900000</v>
      </c>
      <c r="L15" s="453"/>
      <c r="M15" s="462">
        <v>417000</v>
      </c>
      <c r="N15" s="462">
        <v>8000</v>
      </c>
      <c r="O15" s="462">
        <f t="shared" si="1"/>
        <v>-3000</v>
      </c>
      <c r="P15" s="462">
        <v>105000</v>
      </c>
      <c r="Q15" s="464">
        <f t="shared" si="2"/>
        <v>-35000</v>
      </c>
      <c r="R15" s="453"/>
      <c r="S15" s="462">
        <f t="shared" si="3"/>
        <v>-370000</v>
      </c>
      <c r="T15" s="462">
        <f t="shared" si="4"/>
        <v>-1505000</v>
      </c>
      <c r="U15" s="462">
        <f t="shared" si="5"/>
        <v>125000</v>
      </c>
      <c r="V15" s="462">
        <f t="shared" si="6"/>
        <v>292000</v>
      </c>
      <c r="W15" s="462">
        <f t="shared" si="7"/>
        <v>2805000</v>
      </c>
      <c r="X15" s="464">
        <f t="shared" si="8"/>
        <v>-935000</v>
      </c>
      <c r="Y15" s="465">
        <f t="shared" si="9"/>
        <v>1055000</v>
      </c>
      <c r="Z15" s="466">
        <f t="shared" si="10"/>
        <v>-643000</v>
      </c>
      <c r="AA15" s="464">
        <f t="shared" si="11"/>
        <v>412000</v>
      </c>
    </row>
    <row r="16" spans="1:27" ht="15">
      <c r="A16" s="461" t="s">
        <v>7</v>
      </c>
      <c r="B16" s="453">
        <v>28100</v>
      </c>
      <c r="C16" s="453"/>
      <c r="D16" s="462">
        <v>-2569000</v>
      </c>
      <c r="E16" s="462">
        <v>-12346000</v>
      </c>
      <c r="F16" s="462">
        <v>1905000</v>
      </c>
      <c r="G16" s="462"/>
      <c r="H16" s="462">
        <v>1773000</v>
      </c>
      <c r="I16" s="462"/>
      <c r="J16" s="462">
        <v>11244000</v>
      </c>
      <c r="K16" s="463">
        <f t="shared" si="0"/>
        <v>-3748000</v>
      </c>
      <c r="L16" s="453"/>
      <c r="M16" s="462">
        <v>-808000</v>
      </c>
      <c r="N16" s="462">
        <v>106000</v>
      </c>
      <c r="O16" s="462">
        <f t="shared" si="1"/>
        <v>-35000</v>
      </c>
      <c r="P16" s="462">
        <v>595000</v>
      </c>
      <c r="Q16" s="464">
        <f t="shared" si="2"/>
        <v>-198000</v>
      </c>
      <c r="R16" s="453"/>
      <c r="S16" s="462">
        <f t="shared" si="3"/>
        <v>-3377000</v>
      </c>
      <c r="T16" s="462">
        <f t="shared" si="4"/>
        <v>-12346000</v>
      </c>
      <c r="U16" s="462">
        <f t="shared" si="5"/>
        <v>2011000</v>
      </c>
      <c r="V16" s="462">
        <f t="shared" si="6"/>
        <v>1738000</v>
      </c>
      <c r="W16" s="462">
        <f t="shared" si="7"/>
        <v>11839000</v>
      </c>
      <c r="X16" s="464">
        <f t="shared" si="8"/>
        <v>-3946000</v>
      </c>
      <c r="Y16" s="465">
        <f t="shared" si="9"/>
        <v>-1873000</v>
      </c>
      <c r="Z16" s="466">
        <f t="shared" si="10"/>
        <v>-2208000</v>
      </c>
      <c r="AA16" s="464">
        <f t="shared" si="11"/>
        <v>-4081000</v>
      </c>
    </row>
    <row r="17" spans="1:27" ht="15">
      <c r="A17" s="461" t="s">
        <v>8</v>
      </c>
      <c r="B17" s="453">
        <v>17000</v>
      </c>
      <c r="C17" s="453"/>
      <c r="D17" s="462">
        <v>-921000</v>
      </c>
      <c r="E17" s="462">
        <v>-6800000</v>
      </c>
      <c r="F17" s="462">
        <v>2369000</v>
      </c>
      <c r="G17" s="462"/>
      <c r="H17" s="462">
        <v>488000</v>
      </c>
      <c r="I17" s="462"/>
      <c r="J17" s="462">
        <v>6591000</v>
      </c>
      <c r="K17" s="463">
        <f t="shared" si="0"/>
        <v>-2197000</v>
      </c>
      <c r="L17" s="453"/>
      <c r="M17" s="462">
        <v>1203000</v>
      </c>
      <c r="N17" s="462">
        <v>141000</v>
      </c>
      <c r="O17" s="462">
        <f t="shared" si="1"/>
        <v>-47000</v>
      </c>
      <c r="P17" s="462">
        <v>448000</v>
      </c>
      <c r="Q17" s="464">
        <f t="shared" si="2"/>
        <v>-149000</v>
      </c>
      <c r="R17" s="453"/>
      <c r="S17" s="462">
        <f t="shared" si="3"/>
        <v>282000</v>
      </c>
      <c r="T17" s="462">
        <f t="shared" si="4"/>
        <v>-6800000</v>
      </c>
      <c r="U17" s="462">
        <f t="shared" si="5"/>
        <v>2510000</v>
      </c>
      <c r="V17" s="462">
        <f t="shared" si="6"/>
        <v>441000</v>
      </c>
      <c r="W17" s="462">
        <f t="shared" si="7"/>
        <v>7039000</v>
      </c>
      <c r="X17" s="464">
        <f t="shared" si="8"/>
        <v>-2346000</v>
      </c>
      <c r="Y17" s="465">
        <f t="shared" si="9"/>
        <v>3031000</v>
      </c>
      <c r="Z17" s="466">
        <f t="shared" si="10"/>
        <v>-1905000</v>
      </c>
      <c r="AA17" s="464">
        <f t="shared" si="11"/>
        <v>1126000</v>
      </c>
    </row>
    <row r="18" spans="1:27" ht="15">
      <c r="A18" s="461" t="s">
        <v>9</v>
      </c>
      <c r="B18" s="453">
        <v>870</v>
      </c>
      <c r="C18" s="453"/>
      <c r="D18" s="462">
        <v>-35000</v>
      </c>
      <c r="E18" s="462">
        <v>0</v>
      </c>
      <c r="F18" s="462">
        <v>0</v>
      </c>
      <c r="G18" s="462"/>
      <c r="H18" s="462">
        <v>0</v>
      </c>
      <c r="I18" s="462"/>
      <c r="J18" s="462">
        <v>266000</v>
      </c>
      <c r="K18" s="463">
        <f t="shared" si="0"/>
        <v>-89000</v>
      </c>
      <c r="L18" s="453"/>
      <c r="M18" s="462">
        <v>-90000</v>
      </c>
      <c r="N18" s="462">
        <v>0</v>
      </c>
      <c r="O18" s="462">
        <f t="shared" si="1"/>
        <v>0</v>
      </c>
      <c r="P18" s="462">
        <v>17000</v>
      </c>
      <c r="Q18" s="464">
        <f t="shared" si="2"/>
        <v>-6000</v>
      </c>
      <c r="R18" s="453"/>
      <c r="S18" s="462">
        <f t="shared" si="3"/>
        <v>-125000</v>
      </c>
      <c r="T18" s="462">
        <f t="shared" si="4"/>
        <v>0</v>
      </c>
      <c r="U18" s="462">
        <f t="shared" si="5"/>
        <v>0</v>
      </c>
      <c r="V18" s="462">
        <f t="shared" si="6"/>
        <v>0</v>
      </c>
      <c r="W18" s="462">
        <f t="shared" si="7"/>
        <v>283000</v>
      </c>
      <c r="X18" s="464">
        <f t="shared" si="8"/>
        <v>-95000</v>
      </c>
      <c r="Y18" s="465">
        <f t="shared" si="9"/>
        <v>158000</v>
      </c>
      <c r="Z18" s="466">
        <f t="shared" si="10"/>
        <v>-95000</v>
      </c>
      <c r="AA18" s="464">
        <f t="shared" si="11"/>
        <v>63000</v>
      </c>
    </row>
    <row r="19" spans="1:27" ht="15">
      <c r="A19" s="461" t="s">
        <v>10</v>
      </c>
      <c r="B19" s="453">
        <v>3640</v>
      </c>
      <c r="C19" s="453"/>
      <c r="D19" s="462">
        <v>-259000</v>
      </c>
      <c r="E19" s="462">
        <v>0</v>
      </c>
      <c r="F19" s="462">
        <v>61000</v>
      </c>
      <c r="G19" s="462"/>
      <c r="H19" s="462">
        <v>-20000</v>
      </c>
      <c r="I19" s="462"/>
      <c r="J19" s="462">
        <v>1477000</v>
      </c>
      <c r="K19" s="463">
        <f t="shared" si="0"/>
        <v>-492000</v>
      </c>
      <c r="L19" s="453"/>
      <c r="M19" s="462">
        <v>256000</v>
      </c>
      <c r="N19" s="462">
        <v>0</v>
      </c>
      <c r="O19" s="462">
        <f t="shared" si="1"/>
        <v>0</v>
      </c>
      <c r="P19" s="462">
        <v>54000</v>
      </c>
      <c r="Q19" s="464">
        <f t="shared" si="2"/>
        <v>-18000</v>
      </c>
      <c r="R19" s="453"/>
      <c r="S19" s="462">
        <f t="shared" si="3"/>
        <v>-3000</v>
      </c>
      <c r="T19" s="462">
        <f t="shared" si="4"/>
        <v>0</v>
      </c>
      <c r="U19" s="462">
        <f t="shared" si="5"/>
        <v>61000</v>
      </c>
      <c r="V19" s="462">
        <f t="shared" si="6"/>
        <v>-20000</v>
      </c>
      <c r="W19" s="462">
        <f t="shared" si="7"/>
        <v>1531000</v>
      </c>
      <c r="X19" s="464">
        <f t="shared" si="8"/>
        <v>-510000</v>
      </c>
      <c r="Y19" s="465">
        <f t="shared" si="9"/>
        <v>1589000</v>
      </c>
      <c r="Z19" s="466">
        <f t="shared" si="10"/>
        <v>-530000</v>
      </c>
      <c r="AA19" s="464">
        <f t="shared" si="11"/>
        <v>1059000</v>
      </c>
    </row>
    <row r="20" spans="1:27" ht="15">
      <c r="A20" s="461" t="s">
        <v>11</v>
      </c>
      <c r="B20" s="453">
        <v>25733</v>
      </c>
      <c r="C20" s="453"/>
      <c r="D20" s="462">
        <v>-3133000</v>
      </c>
      <c r="E20" s="462">
        <v>-11526000</v>
      </c>
      <c r="F20" s="462">
        <v>1985000</v>
      </c>
      <c r="G20" s="462"/>
      <c r="H20" s="462">
        <v>1543000</v>
      </c>
      <c r="I20" s="462"/>
      <c r="J20" s="462">
        <v>10457000</v>
      </c>
      <c r="K20" s="463">
        <f t="shared" si="0"/>
        <v>-3486000</v>
      </c>
      <c r="L20" s="453"/>
      <c r="M20" s="462">
        <v>1340000</v>
      </c>
      <c r="N20" s="462">
        <v>143000</v>
      </c>
      <c r="O20" s="462">
        <f>-ROUND(((N20)/3)/1000,0)*1000+1000</f>
        <v>-47000</v>
      </c>
      <c r="P20" s="462">
        <v>718000</v>
      </c>
      <c r="Q20" s="464">
        <f>-ROUND((P20/3)/1000,0)*1000</f>
        <v>-239000</v>
      </c>
      <c r="R20" s="453"/>
      <c r="S20" s="462">
        <f t="shared" si="3"/>
        <v>-1793000</v>
      </c>
      <c r="T20" s="462">
        <f t="shared" si="4"/>
        <v>-11526000</v>
      </c>
      <c r="U20" s="462">
        <f t="shared" si="5"/>
        <v>2128000</v>
      </c>
      <c r="V20" s="462">
        <f t="shared" si="6"/>
        <v>1496000</v>
      </c>
      <c r="W20" s="462">
        <f t="shared" si="7"/>
        <v>11175000</v>
      </c>
      <c r="X20" s="464">
        <f t="shared" si="8"/>
        <v>-3725000</v>
      </c>
      <c r="Y20" s="465">
        <f t="shared" si="9"/>
        <v>-16000</v>
      </c>
      <c r="Z20" s="466">
        <f t="shared" si="10"/>
        <v>-2229000</v>
      </c>
      <c r="AA20" s="464">
        <f t="shared" si="11"/>
        <v>-2245000</v>
      </c>
    </row>
    <row r="21" spans="1:27" ht="15">
      <c r="A21" s="461" t="s">
        <v>12</v>
      </c>
      <c r="B21" s="453">
        <v>17816</v>
      </c>
      <c r="C21" s="453"/>
      <c r="D21" s="462">
        <v>-251000</v>
      </c>
      <c r="E21" s="462">
        <v>-6711000</v>
      </c>
      <c r="F21" s="462">
        <v>1471000</v>
      </c>
      <c r="G21" s="462"/>
      <c r="H21" s="462">
        <v>849000</v>
      </c>
      <c r="I21" s="462"/>
      <c r="J21" s="462">
        <v>6921000</v>
      </c>
      <c r="K21" s="463">
        <f t="shared" si="0"/>
        <v>-2307000</v>
      </c>
      <c r="L21" s="453"/>
      <c r="M21" s="462">
        <v>0</v>
      </c>
      <c r="N21" s="462">
        <v>89000</v>
      </c>
      <c r="O21" s="462">
        <f>-ROUND(((N21)/3)/1000,0)*1000</f>
        <v>-30000</v>
      </c>
      <c r="P21" s="462">
        <v>332000</v>
      </c>
      <c r="Q21" s="464">
        <f aca="true" t="shared" si="12" ref="Q21:Q30">-ROUND((P21/3)/1000,0)*1000</f>
        <v>-111000</v>
      </c>
      <c r="R21" s="453"/>
      <c r="S21" s="462">
        <f t="shared" si="3"/>
        <v>-251000</v>
      </c>
      <c r="T21" s="462">
        <f t="shared" si="4"/>
        <v>-6711000</v>
      </c>
      <c r="U21" s="462">
        <f t="shared" si="5"/>
        <v>1560000</v>
      </c>
      <c r="V21" s="462">
        <f t="shared" si="6"/>
        <v>819000</v>
      </c>
      <c r="W21" s="462">
        <f t="shared" si="7"/>
        <v>7253000</v>
      </c>
      <c r="X21" s="464">
        <f t="shared" si="8"/>
        <v>-2418000</v>
      </c>
      <c r="Y21" s="465">
        <f t="shared" si="9"/>
        <v>1851000</v>
      </c>
      <c r="Z21" s="466">
        <f t="shared" si="10"/>
        <v>-1599000</v>
      </c>
      <c r="AA21" s="464">
        <f t="shared" si="11"/>
        <v>252000</v>
      </c>
    </row>
    <row r="22" spans="1:27" ht="15">
      <c r="A22" s="461" t="s">
        <v>13</v>
      </c>
      <c r="B22" s="453">
        <v>22970</v>
      </c>
      <c r="C22" s="453"/>
      <c r="D22" s="462">
        <v>-3647000</v>
      </c>
      <c r="E22" s="462">
        <v>-9795000</v>
      </c>
      <c r="F22" s="462">
        <v>674000</v>
      </c>
      <c r="G22" s="462"/>
      <c r="H22" s="462">
        <v>1743000</v>
      </c>
      <c r="I22" s="462"/>
      <c r="J22" s="462">
        <v>9080000</v>
      </c>
      <c r="K22" s="463">
        <f t="shared" si="0"/>
        <v>-3027000</v>
      </c>
      <c r="L22" s="453"/>
      <c r="M22" s="462">
        <v>319000</v>
      </c>
      <c r="N22" s="462">
        <v>35000</v>
      </c>
      <c r="O22" s="462">
        <f>-ROUND(((N22)/3)/1000,0)*1000</f>
        <v>-12000</v>
      </c>
      <c r="P22" s="462">
        <v>250000</v>
      </c>
      <c r="Q22" s="464">
        <f t="shared" si="12"/>
        <v>-83000</v>
      </c>
      <c r="R22" s="453"/>
      <c r="S22" s="462">
        <f t="shared" si="3"/>
        <v>-3328000</v>
      </c>
      <c r="T22" s="462">
        <f t="shared" si="4"/>
        <v>-9795000</v>
      </c>
      <c r="U22" s="462">
        <f t="shared" si="5"/>
        <v>709000</v>
      </c>
      <c r="V22" s="462">
        <f t="shared" si="6"/>
        <v>1731000</v>
      </c>
      <c r="W22" s="462">
        <f t="shared" si="7"/>
        <v>9330000</v>
      </c>
      <c r="X22" s="464">
        <f t="shared" si="8"/>
        <v>-3110000</v>
      </c>
      <c r="Y22" s="465">
        <f t="shared" si="9"/>
        <v>-3084000</v>
      </c>
      <c r="Z22" s="466">
        <f t="shared" si="10"/>
        <v>-1379000</v>
      </c>
      <c r="AA22" s="464">
        <f t="shared" si="11"/>
        <v>-4463000</v>
      </c>
    </row>
    <row r="23" spans="1:27" ht="15">
      <c r="A23" s="461" t="s">
        <v>14</v>
      </c>
      <c r="B23" s="453">
        <v>14415</v>
      </c>
      <c r="C23" s="453"/>
      <c r="D23" s="462">
        <v>-676000</v>
      </c>
      <c r="E23" s="462">
        <v>-5525000</v>
      </c>
      <c r="F23" s="462">
        <v>1319000</v>
      </c>
      <c r="G23" s="462"/>
      <c r="H23" s="462">
        <v>643000</v>
      </c>
      <c r="I23" s="462"/>
      <c r="J23" s="462">
        <v>5677000</v>
      </c>
      <c r="K23" s="463">
        <f t="shared" si="0"/>
        <v>-1892000</v>
      </c>
      <c r="L23" s="453"/>
      <c r="M23" s="462">
        <v>779000</v>
      </c>
      <c r="N23" s="462">
        <v>53000</v>
      </c>
      <c r="O23" s="462">
        <f>-ROUND(((N23)/3)/1000,0)*1000</f>
        <v>-18000</v>
      </c>
      <c r="P23" s="462">
        <v>221000</v>
      </c>
      <c r="Q23" s="464">
        <f t="shared" si="12"/>
        <v>-74000</v>
      </c>
      <c r="R23" s="453"/>
      <c r="S23" s="462">
        <f t="shared" si="3"/>
        <v>103000</v>
      </c>
      <c r="T23" s="462">
        <f t="shared" si="4"/>
        <v>-5525000</v>
      </c>
      <c r="U23" s="462">
        <f t="shared" si="5"/>
        <v>1372000</v>
      </c>
      <c r="V23" s="462">
        <f t="shared" si="6"/>
        <v>625000</v>
      </c>
      <c r="W23" s="462">
        <f t="shared" si="7"/>
        <v>5898000</v>
      </c>
      <c r="X23" s="464">
        <f t="shared" si="8"/>
        <v>-1966000</v>
      </c>
      <c r="Y23" s="465">
        <f t="shared" si="9"/>
        <v>1848000</v>
      </c>
      <c r="Z23" s="466">
        <f t="shared" si="10"/>
        <v>-1341000</v>
      </c>
      <c r="AA23" s="464">
        <f t="shared" si="11"/>
        <v>507000</v>
      </c>
    </row>
    <row r="24" spans="1:27" ht="15">
      <c r="A24" s="461" t="s">
        <v>15</v>
      </c>
      <c r="B24" s="453">
        <v>28298</v>
      </c>
      <c r="C24" s="453"/>
      <c r="D24" s="462">
        <v>-1345000</v>
      </c>
      <c r="E24" s="462">
        <v>-11928000</v>
      </c>
      <c r="F24" s="462">
        <v>2129000</v>
      </c>
      <c r="G24" s="462"/>
      <c r="H24" s="462">
        <v>1714000</v>
      </c>
      <c r="I24" s="462"/>
      <c r="J24" s="462">
        <v>10359000</v>
      </c>
      <c r="K24" s="463">
        <f t="shared" si="0"/>
        <v>-3453000</v>
      </c>
      <c r="L24" s="453"/>
      <c r="M24" s="462">
        <v>1498000</v>
      </c>
      <c r="N24" s="462">
        <v>167000</v>
      </c>
      <c r="O24" s="462">
        <f>-ROUND(((N24)/3)/1000,0)*1000</f>
        <v>-56000</v>
      </c>
      <c r="P24" s="462">
        <v>849000</v>
      </c>
      <c r="Q24" s="464">
        <f t="shared" si="12"/>
        <v>-283000</v>
      </c>
      <c r="R24" s="453"/>
      <c r="S24" s="462">
        <f t="shared" si="3"/>
        <v>153000</v>
      </c>
      <c r="T24" s="462">
        <f t="shared" si="4"/>
        <v>-11928000</v>
      </c>
      <c r="U24" s="462">
        <f t="shared" si="5"/>
        <v>2296000</v>
      </c>
      <c r="V24" s="462">
        <f t="shared" si="6"/>
        <v>1658000</v>
      </c>
      <c r="W24" s="462">
        <f t="shared" si="7"/>
        <v>11208000</v>
      </c>
      <c r="X24" s="464">
        <f t="shared" si="8"/>
        <v>-3736000</v>
      </c>
      <c r="Y24" s="465">
        <f t="shared" si="9"/>
        <v>1729000</v>
      </c>
      <c r="Z24" s="466">
        <f t="shared" si="10"/>
        <v>-2078000</v>
      </c>
      <c r="AA24" s="464">
        <f t="shared" si="11"/>
        <v>-349000</v>
      </c>
    </row>
    <row r="25" spans="1:27" ht="15">
      <c r="A25" s="461" t="s">
        <v>16</v>
      </c>
      <c r="B25" s="453">
        <v>23416</v>
      </c>
      <c r="C25" s="453"/>
      <c r="D25" s="462">
        <v>-618000</v>
      </c>
      <c r="E25" s="462">
        <v>-10295000</v>
      </c>
      <c r="F25" s="462">
        <v>2036000</v>
      </c>
      <c r="G25" s="462"/>
      <c r="H25" s="462">
        <v>1328000</v>
      </c>
      <c r="I25" s="462"/>
      <c r="J25" s="462">
        <v>8926000</v>
      </c>
      <c r="K25" s="463">
        <f t="shared" si="0"/>
        <v>-2975000</v>
      </c>
      <c r="L25" s="453"/>
      <c r="M25" s="462">
        <v>1648000</v>
      </c>
      <c r="N25" s="462">
        <v>207000</v>
      </c>
      <c r="O25" s="462">
        <f aca="true" t="shared" si="13" ref="O25:O30">-ROUND(((N25)/3)/1000,0)*1000</f>
        <v>-69000</v>
      </c>
      <c r="P25" s="462">
        <v>830000</v>
      </c>
      <c r="Q25" s="464">
        <f t="shared" si="12"/>
        <v>-277000</v>
      </c>
      <c r="R25" s="453"/>
      <c r="S25" s="462">
        <f t="shared" si="3"/>
        <v>1030000</v>
      </c>
      <c r="T25" s="462">
        <f t="shared" si="4"/>
        <v>-10295000</v>
      </c>
      <c r="U25" s="462">
        <f t="shared" si="5"/>
        <v>2243000</v>
      </c>
      <c r="V25" s="462">
        <f t="shared" si="6"/>
        <v>1259000</v>
      </c>
      <c r="W25" s="462">
        <f t="shared" si="7"/>
        <v>9756000</v>
      </c>
      <c r="X25" s="464">
        <f t="shared" si="8"/>
        <v>-3252000</v>
      </c>
      <c r="Y25" s="465">
        <f t="shared" si="9"/>
        <v>2734000</v>
      </c>
      <c r="Z25" s="466">
        <f t="shared" si="10"/>
        <v>-1993000</v>
      </c>
      <c r="AA25" s="464">
        <f t="shared" si="11"/>
        <v>741000</v>
      </c>
    </row>
    <row r="26" spans="1:27" ht="15">
      <c r="A26" s="461" t="s">
        <v>17</v>
      </c>
      <c r="B26" s="453">
        <v>22460</v>
      </c>
      <c r="C26" s="453"/>
      <c r="D26" s="462">
        <v>-1515000</v>
      </c>
      <c r="E26" s="462">
        <v>-9855000</v>
      </c>
      <c r="F26" s="462">
        <v>1064000</v>
      </c>
      <c r="G26" s="462"/>
      <c r="H26" s="462">
        <v>1570000</v>
      </c>
      <c r="I26" s="462"/>
      <c r="J26" s="462">
        <v>9192000</v>
      </c>
      <c r="K26" s="463">
        <f t="shared" si="0"/>
        <v>-3064000</v>
      </c>
      <c r="L26" s="453"/>
      <c r="M26" s="462">
        <v>-391000</v>
      </c>
      <c r="N26" s="462">
        <v>231000</v>
      </c>
      <c r="O26" s="462">
        <f t="shared" si="13"/>
        <v>-77000</v>
      </c>
      <c r="P26" s="462">
        <v>935000</v>
      </c>
      <c r="Q26" s="464">
        <f t="shared" si="12"/>
        <v>-312000</v>
      </c>
      <c r="R26" s="453"/>
      <c r="S26" s="462">
        <f t="shared" si="3"/>
        <v>-1906000</v>
      </c>
      <c r="T26" s="462">
        <f t="shared" si="4"/>
        <v>-9855000</v>
      </c>
      <c r="U26" s="462">
        <f t="shared" si="5"/>
        <v>1295000</v>
      </c>
      <c r="V26" s="462">
        <f t="shared" si="6"/>
        <v>1493000</v>
      </c>
      <c r="W26" s="462">
        <f t="shared" si="7"/>
        <v>10127000</v>
      </c>
      <c r="X26" s="464">
        <f t="shared" si="8"/>
        <v>-3376000</v>
      </c>
      <c r="Y26" s="465">
        <f t="shared" si="9"/>
        <v>-339000</v>
      </c>
      <c r="Z26" s="466">
        <f t="shared" si="10"/>
        <v>-1883000</v>
      </c>
      <c r="AA26" s="464">
        <f t="shared" si="11"/>
        <v>-2222000</v>
      </c>
    </row>
    <row r="27" spans="1:27" ht="15">
      <c r="A27" s="461" t="s">
        <v>18</v>
      </c>
      <c r="B27" s="453">
        <v>17350</v>
      </c>
      <c r="C27" s="453"/>
      <c r="D27" s="462">
        <v>-1809000</v>
      </c>
      <c r="E27" s="462">
        <v>-5917000</v>
      </c>
      <c r="F27" s="462">
        <v>987000</v>
      </c>
      <c r="G27" s="462"/>
      <c r="H27" s="462">
        <v>975000</v>
      </c>
      <c r="I27" s="462"/>
      <c r="J27" s="462">
        <v>6258000</v>
      </c>
      <c r="K27" s="463">
        <f t="shared" si="0"/>
        <v>-2086000</v>
      </c>
      <c r="L27" s="453"/>
      <c r="M27" s="462">
        <v>-75000</v>
      </c>
      <c r="N27" s="462">
        <v>36000</v>
      </c>
      <c r="O27" s="462">
        <f t="shared" si="13"/>
        <v>-12000</v>
      </c>
      <c r="P27" s="462">
        <v>295000</v>
      </c>
      <c r="Q27" s="464">
        <f t="shared" si="12"/>
        <v>-98000</v>
      </c>
      <c r="R27" s="453"/>
      <c r="S27" s="462">
        <f t="shared" si="3"/>
        <v>-1884000</v>
      </c>
      <c r="T27" s="462">
        <f t="shared" si="4"/>
        <v>-5917000</v>
      </c>
      <c r="U27" s="462">
        <f t="shared" si="5"/>
        <v>1023000</v>
      </c>
      <c r="V27" s="462">
        <f t="shared" si="6"/>
        <v>963000</v>
      </c>
      <c r="W27" s="462">
        <f t="shared" si="7"/>
        <v>6553000</v>
      </c>
      <c r="X27" s="464">
        <f t="shared" si="8"/>
        <v>-2184000</v>
      </c>
      <c r="Y27" s="465">
        <f t="shared" si="9"/>
        <v>-225000</v>
      </c>
      <c r="Z27" s="466">
        <f t="shared" si="10"/>
        <v>-1221000</v>
      </c>
      <c r="AA27" s="464">
        <f t="shared" si="11"/>
        <v>-1446000</v>
      </c>
    </row>
    <row r="28" spans="1:27" ht="15">
      <c r="A28" s="461" t="s">
        <v>19</v>
      </c>
      <c r="B28" s="453">
        <v>7283</v>
      </c>
      <c r="C28" s="453"/>
      <c r="D28" s="462">
        <v>626000</v>
      </c>
      <c r="E28" s="462">
        <v>-1761000</v>
      </c>
      <c r="F28" s="462">
        <v>375000</v>
      </c>
      <c r="G28" s="462"/>
      <c r="H28" s="462">
        <v>221000</v>
      </c>
      <c r="I28" s="462"/>
      <c r="J28" s="462">
        <v>3050000</v>
      </c>
      <c r="K28" s="463">
        <f t="shared" si="0"/>
        <v>-1017000</v>
      </c>
      <c r="L28" s="453"/>
      <c r="M28" s="462">
        <v>-118000</v>
      </c>
      <c r="N28" s="462">
        <v>1000</v>
      </c>
      <c r="O28" s="462">
        <f t="shared" si="13"/>
        <v>0</v>
      </c>
      <c r="P28" s="462">
        <v>47000</v>
      </c>
      <c r="Q28" s="464">
        <f t="shared" si="12"/>
        <v>-16000</v>
      </c>
      <c r="R28" s="453"/>
      <c r="S28" s="462">
        <f t="shared" si="3"/>
        <v>508000</v>
      </c>
      <c r="T28" s="462">
        <f t="shared" si="4"/>
        <v>-1761000</v>
      </c>
      <c r="U28" s="462">
        <f t="shared" si="5"/>
        <v>376000</v>
      </c>
      <c r="V28" s="462">
        <f t="shared" si="6"/>
        <v>221000</v>
      </c>
      <c r="W28" s="462">
        <f t="shared" si="7"/>
        <v>3097000</v>
      </c>
      <c r="X28" s="464">
        <f t="shared" si="8"/>
        <v>-1033000</v>
      </c>
      <c r="Y28" s="465">
        <f t="shared" si="9"/>
        <v>2220000</v>
      </c>
      <c r="Z28" s="466">
        <f t="shared" si="10"/>
        <v>-812000</v>
      </c>
      <c r="AA28" s="464">
        <f t="shared" si="11"/>
        <v>1408000</v>
      </c>
    </row>
    <row r="29" spans="1:27" ht="15">
      <c r="A29" s="461" t="s">
        <v>20</v>
      </c>
      <c r="B29" s="453">
        <v>7500</v>
      </c>
      <c r="C29" s="453"/>
      <c r="D29" s="462">
        <v>-379000</v>
      </c>
      <c r="E29" s="462">
        <v>-1649000</v>
      </c>
      <c r="F29" s="462">
        <v>138000</v>
      </c>
      <c r="G29" s="462"/>
      <c r="H29" s="462">
        <v>310000</v>
      </c>
      <c r="I29" s="462"/>
      <c r="J29" s="462">
        <v>2968000</v>
      </c>
      <c r="K29" s="463">
        <f t="shared" si="0"/>
        <v>-989000</v>
      </c>
      <c r="L29" s="453"/>
      <c r="M29" s="462">
        <v>-166000</v>
      </c>
      <c r="N29" s="462">
        <v>1000</v>
      </c>
      <c r="O29" s="462">
        <f t="shared" si="13"/>
        <v>0</v>
      </c>
      <c r="P29" s="462">
        <v>43000</v>
      </c>
      <c r="Q29" s="464">
        <f t="shared" si="12"/>
        <v>-14000</v>
      </c>
      <c r="R29" s="453"/>
      <c r="S29" s="462">
        <f t="shared" si="3"/>
        <v>-545000</v>
      </c>
      <c r="T29" s="462">
        <f t="shared" si="4"/>
        <v>-1649000</v>
      </c>
      <c r="U29" s="462">
        <f t="shared" si="5"/>
        <v>139000</v>
      </c>
      <c r="V29" s="462">
        <f t="shared" si="6"/>
        <v>310000</v>
      </c>
      <c r="W29" s="462">
        <f t="shared" si="7"/>
        <v>3011000</v>
      </c>
      <c r="X29" s="464">
        <f t="shared" si="8"/>
        <v>-1003000</v>
      </c>
      <c r="Y29" s="465">
        <f t="shared" si="9"/>
        <v>956000</v>
      </c>
      <c r="Z29" s="466">
        <f t="shared" si="10"/>
        <v>-693000</v>
      </c>
      <c r="AA29" s="464">
        <f t="shared" si="11"/>
        <v>263000</v>
      </c>
    </row>
    <row r="30" spans="1:27" ht="15">
      <c r="A30" s="461" t="s">
        <v>21</v>
      </c>
      <c r="B30" s="453">
        <v>7090</v>
      </c>
      <c r="C30" s="453"/>
      <c r="D30" s="462">
        <f>-940000-107000</f>
        <v>-1047000</v>
      </c>
      <c r="E30" s="462">
        <v>-1479000</v>
      </c>
      <c r="F30" s="462">
        <v>633000</v>
      </c>
      <c r="G30" s="462"/>
      <c r="H30" s="462">
        <v>125000</v>
      </c>
      <c r="I30" s="462"/>
      <c r="J30" s="462">
        <v>3069000</v>
      </c>
      <c r="K30" s="463">
        <f t="shared" si="0"/>
        <v>-1023000</v>
      </c>
      <c r="L30" s="453"/>
      <c r="M30" s="462">
        <v>245000</v>
      </c>
      <c r="N30" s="462">
        <v>3000</v>
      </c>
      <c r="O30" s="462">
        <f t="shared" si="13"/>
        <v>-1000</v>
      </c>
      <c r="P30" s="462">
        <v>53000</v>
      </c>
      <c r="Q30" s="464">
        <f t="shared" si="12"/>
        <v>-18000</v>
      </c>
      <c r="R30" s="453"/>
      <c r="S30" s="462">
        <f t="shared" si="3"/>
        <v>-802000</v>
      </c>
      <c r="T30" s="462">
        <f t="shared" si="4"/>
        <v>-1479000</v>
      </c>
      <c r="U30" s="462">
        <f t="shared" si="5"/>
        <v>636000</v>
      </c>
      <c r="V30" s="462">
        <f t="shared" si="6"/>
        <v>124000</v>
      </c>
      <c r="W30" s="462">
        <f t="shared" si="7"/>
        <v>3122000</v>
      </c>
      <c r="X30" s="464">
        <f t="shared" si="8"/>
        <v>-1041000</v>
      </c>
      <c r="Y30" s="465">
        <f t="shared" si="9"/>
        <v>1477000</v>
      </c>
      <c r="Z30" s="466">
        <f t="shared" si="10"/>
        <v>-917000</v>
      </c>
      <c r="AA30" s="464">
        <f t="shared" si="11"/>
        <v>560000</v>
      </c>
    </row>
    <row r="31" spans="1:27" ht="6" customHeight="1">
      <c r="A31" s="461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53"/>
      <c r="M31" s="462"/>
      <c r="N31" s="462"/>
      <c r="O31" s="462"/>
      <c r="P31" s="462"/>
      <c r="Q31" s="467"/>
      <c r="R31" s="453"/>
      <c r="S31" s="462"/>
      <c r="T31" s="462"/>
      <c r="U31" s="462"/>
      <c r="V31" s="462"/>
      <c r="W31" s="462"/>
      <c r="X31" s="467"/>
      <c r="Y31" s="453"/>
      <c r="Z31" s="462"/>
      <c r="AA31" s="468"/>
    </row>
    <row r="32" spans="1:27" ht="15">
      <c r="A32" s="469" t="s">
        <v>22</v>
      </c>
      <c r="B32" s="470">
        <f aca="true" t="shared" si="14" ref="B32:AA32">SUM(B8:B30)</f>
        <v>341527</v>
      </c>
      <c r="C32" s="470"/>
      <c r="D32" s="471">
        <f t="shared" si="14"/>
        <v>-21380000</v>
      </c>
      <c r="E32" s="471">
        <f t="shared" si="14"/>
        <v>-129353000</v>
      </c>
      <c r="F32" s="471">
        <f t="shared" si="14"/>
        <v>23432000</v>
      </c>
      <c r="G32" s="471"/>
      <c r="H32" s="471">
        <f t="shared" si="14"/>
        <v>17958000</v>
      </c>
      <c r="I32" s="471"/>
      <c r="J32" s="471">
        <f t="shared" si="14"/>
        <v>134050000</v>
      </c>
      <c r="K32" s="471">
        <f t="shared" si="14"/>
        <v>-44684000</v>
      </c>
      <c r="L32" s="472"/>
      <c r="M32" s="471">
        <f t="shared" si="14"/>
        <v>6550000</v>
      </c>
      <c r="N32" s="471">
        <f t="shared" si="14"/>
        <v>1527000</v>
      </c>
      <c r="O32" s="471">
        <f t="shared" si="14"/>
        <v>-510000</v>
      </c>
      <c r="P32" s="471">
        <f t="shared" si="14"/>
        <v>7185000</v>
      </c>
      <c r="Q32" s="473">
        <f t="shared" si="14"/>
        <v>-2395000</v>
      </c>
      <c r="R32" s="472"/>
      <c r="S32" s="471">
        <f t="shared" si="14"/>
        <v>-14830000</v>
      </c>
      <c r="T32" s="471">
        <f t="shared" si="14"/>
        <v>-129353000</v>
      </c>
      <c r="U32" s="471">
        <f t="shared" si="14"/>
        <v>24959000</v>
      </c>
      <c r="V32" s="471">
        <f t="shared" si="14"/>
        <v>17448000</v>
      </c>
      <c r="W32" s="471">
        <f t="shared" si="14"/>
        <v>141235000</v>
      </c>
      <c r="X32" s="473">
        <f t="shared" si="14"/>
        <v>-47079000</v>
      </c>
      <c r="Y32" s="474">
        <f t="shared" si="14"/>
        <v>22011000</v>
      </c>
      <c r="Z32" s="471">
        <f t="shared" si="14"/>
        <v>-29631000</v>
      </c>
      <c r="AA32" s="475">
        <f t="shared" si="14"/>
        <v>-7620000</v>
      </c>
    </row>
    <row r="33" spans="1:27" ht="9" customHeight="1">
      <c r="A33" s="476"/>
      <c r="B33" s="477"/>
      <c r="C33" s="478"/>
      <c r="D33" s="455"/>
      <c r="E33" s="455"/>
      <c r="F33" s="455"/>
      <c r="G33" s="455"/>
      <c r="H33" s="455"/>
      <c r="I33" s="455"/>
      <c r="J33" s="455"/>
      <c r="K33" s="455"/>
      <c r="L33" s="454"/>
      <c r="M33" s="455"/>
      <c r="N33" s="455"/>
      <c r="O33" s="455"/>
      <c r="P33" s="455"/>
      <c r="Q33" s="479"/>
      <c r="R33" s="454"/>
      <c r="S33" s="455"/>
      <c r="T33" s="455"/>
      <c r="U33" s="455"/>
      <c r="V33" s="455"/>
      <c r="W33" s="455"/>
      <c r="X33" s="479"/>
      <c r="Y33" s="480"/>
      <c r="Z33" s="455"/>
      <c r="AA33" s="468"/>
    </row>
    <row r="34" spans="1:27" ht="15">
      <c r="A34" s="452" t="s">
        <v>23</v>
      </c>
      <c r="B34" s="481">
        <v>0</v>
      </c>
      <c r="C34" s="481"/>
      <c r="D34" s="462">
        <v>0</v>
      </c>
      <c r="E34" s="462">
        <v>0</v>
      </c>
      <c r="F34" s="462">
        <v>0</v>
      </c>
      <c r="G34" s="462"/>
      <c r="H34" s="462">
        <v>0</v>
      </c>
      <c r="I34" s="462"/>
      <c r="J34" s="462">
        <v>0</v>
      </c>
      <c r="K34" s="463">
        <f>-ROUND((J34/3)/1000,0)*1000</f>
        <v>0</v>
      </c>
      <c r="L34" s="482"/>
      <c r="M34" s="462">
        <v>0</v>
      </c>
      <c r="N34" s="462">
        <v>0</v>
      </c>
      <c r="O34" s="462">
        <f>-ROUND(((N34)/3)/1000,0)*1000</f>
        <v>0</v>
      </c>
      <c r="P34" s="462">
        <v>0</v>
      </c>
      <c r="Q34" s="464">
        <f>-ROUND((P34/3)/1000,0)*1000</f>
        <v>0</v>
      </c>
      <c r="R34" s="482"/>
      <c r="S34" s="462">
        <f>D34+M34</f>
        <v>0</v>
      </c>
      <c r="T34" s="462">
        <v>0</v>
      </c>
      <c r="U34" s="462">
        <v>0</v>
      </c>
      <c r="V34" s="462">
        <f>H34+O34</f>
        <v>0</v>
      </c>
      <c r="W34" s="462">
        <f aca="true" t="shared" si="15" ref="W34:X37">J34+P34</f>
        <v>0</v>
      </c>
      <c r="X34" s="464">
        <f t="shared" si="15"/>
        <v>0</v>
      </c>
      <c r="Y34" s="465">
        <f>S34+T34+U34+W34</f>
        <v>0</v>
      </c>
      <c r="Z34" s="466">
        <f>V34+X34</f>
        <v>0</v>
      </c>
      <c r="AA34" s="464">
        <f>SUM(S34:X34)</f>
        <v>0</v>
      </c>
    </row>
    <row r="35" spans="1:27" ht="15">
      <c r="A35" s="461" t="s">
        <v>32</v>
      </c>
      <c r="B35" s="453">
        <v>650</v>
      </c>
      <c r="C35" s="453"/>
      <c r="D35" s="462">
        <v>-12000</v>
      </c>
      <c r="E35" s="462">
        <v>0</v>
      </c>
      <c r="F35" s="462">
        <v>299000</v>
      </c>
      <c r="G35" s="462"/>
      <c r="H35" s="462">
        <v>-100000</v>
      </c>
      <c r="I35" s="462"/>
      <c r="J35" s="462">
        <v>317000</v>
      </c>
      <c r="K35" s="463">
        <f>-ROUND((J35/3)/1000,0)*1000</f>
        <v>-106000</v>
      </c>
      <c r="L35" s="453"/>
      <c r="M35" s="462">
        <v>-13000</v>
      </c>
      <c r="N35" s="462">
        <v>0</v>
      </c>
      <c r="O35" s="462">
        <f>-ROUND(((N35)/3)/1000,0)*1000</f>
        <v>0</v>
      </c>
      <c r="P35" s="462">
        <v>0</v>
      </c>
      <c r="Q35" s="464">
        <f>-ROUND((P35/3)/1000,0)*1000</f>
        <v>0</v>
      </c>
      <c r="R35" s="453"/>
      <c r="S35" s="462">
        <f>D35+M35</f>
        <v>-25000</v>
      </c>
      <c r="T35" s="462">
        <f>E35</f>
        <v>0</v>
      </c>
      <c r="U35" s="462">
        <f>F35+N35</f>
        <v>299000</v>
      </c>
      <c r="V35" s="462">
        <f>H35+O35</f>
        <v>-100000</v>
      </c>
      <c r="W35" s="462">
        <f t="shared" si="15"/>
        <v>317000</v>
      </c>
      <c r="X35" s="464">
        <f t="shared" si="15"/>
        <v>-106000</v>
      </c>
      <c r="Y35" s="465">
        <f>S35+T35+U35+W35</f>
        <v>591000</v>
      </c>
      <c r="Z35" s="466">
        <f>V35+X35</f>
        <v>-206000</v>
      </c>
      <c r="AA35" s="464">
        <f>SUM(S35:X35)</f>
        <v>385000</v>
      </c>
    </row>
    <row r="36" spans="1:27" ht="15">
      <c r="A36" s="461" t="s">
        <v>24</v>
      </c>
      <c r="B36" s="453">
        <v>665</v>
      </c>
      <c r="C36" s="453"/>
      <c r="D36" s="462">
        <v>24000</v>
      </c>
      <c r="E36" s="462">
        <v>0</v>
      </c>
      <c r="F36" s="462">
        <v>7000</v>
      </c>
      <c r="G36" s="462"/>
      <c r="H36" s="462">
        <v>-2000</v>
      </c>
      <c r="I36" s="462"/>
      <c r="J36" s="462">
        <v>230000</v>
      </c>
      <c r="K36" s="463">
        <f>-ROUND((J36/3)/1000,0)*1000</f>
        <v>-77000</v>
      </c>
      <c r="L36" s="453"/>
      <c r="M36" s="462">
        <v>39000</v>
      </c>
      <c r="N36" s="462">
        <v>0</v>
      </c>
      <c r="O36" s="462">
        <f>-ROUND(((N36)/3)/1000,0)*1000</f>
        <v>0</v>
      </c>
      <c r="P36" s="462">
        <v>5000</v>
      </c>
      <c r="Q36" s="464">
        <f>-ROUND((P36/3)/1000,0)*1000</f>
        <v>-2000</v>
      </c>
      <c r="R36" s="453"/>
      <c r="S36" s="462">
        <f>D36+M36</f>
        <v>63000</v>
      </c>
      <c r="T36" s="462">
        <f>E36</f>
        <v>0</v>
      </c>
      <c r="U36" s="462">
        <f>F36+N36</f>
        <v>7000</v>
      </c>
      <c r="V36" s="462">
        <f>H36+O36</f>
        <v>-2000</v>
      </c>
      <c r="W36" s="462">
        <f t="shared" si="15"/>
        <v>235000</v>
      </c>
      <c r="X36" s="464">
        <f t="shared" si="15"/>
        <v>-79000</v>
      </c>
      <c r="Y36" s="465">
        <f>S36+T36+U36+W36</f>
        <v>305000</v>
      </c>
      <c r="Z36" s="466">
        <f>V36+X36</f>
        <v>-81000</v>
      </c>
      <c r="AA36" s="464">
        <f>SUM(S36:X36)</f>
        <v>224000</v>
      </c>
    </row>
    <row r="37" spans="1:27" ht="15">
      <c r="A37" s="461" t="s">
        <v>25</v>
      </c>
      <c r="B37" s="453">
        <v>51</v>
      </c>
      <c r="C37" s="453"/>
      <c r="D37" s="462">
        <v>284000</v>
      </c>
      <c r="E37" s="462">
        <v>0</v>
      </c>
      <c r="F37" s="462">
        <v>118000</v>
      </c>
      <c r="G37" s="462"/>
      <c r="H37" s="462">
        <v>-39000</v>
      </c>
      <c r="I37" s="462"/>
      <c r="J37" s="462">
        <v>0</v>
      </c>
      <c r="K37" s="463">
        <f>ROUND((J37/3)/1000,0)*1000</f>
        <v>0</v>
      </c>
      <c r="L37" s="453"/>
      <c r="M37" s="462">
        <v>4000</v>
      </c>
      <c r="N37" s="462">
        <v>7000</v>
      </c>
      <c r="O37" s="462">
        <f>-ROUND(((N37)/3)/1000,0)*1000</f>
        <v>-2000</v>
      </c>
      <c r="P37" s="462">
        <v>0</v>
      </c>
      <c r="Q37" s="464">
        <f>-ROUND((P37/3)/1000,0)*1000</f>
        <v>0</v>
      </c>
      <c r="R37" s="453"/>
      <c r="S37" s="462">
        <f>D37+M37</f>
        <v>288000</v>
      </c>
      <c r="T37" s="462">
        <f>E37</f>
        <v>0</v>
      </c>
      <c r="U37" s="462">
        <f>F37+N37</f>
        <v>125000</v>
      </c>
      <c r="V37" s="462">
        <f>H37+O37</f>
        <v>-41000</v>
      </c>
      <c r="W37" s="462">
        <f t="shared" si="15"/>
        <v>0</v>
      </c>
      <c r="X37" s="464">
        <f t="shared" si="15"/>
        <v>0</v>
      </c>
      <c r="Y37" s="465">
        <f>S37+T37+U37+W37</f>
        <v>413000</v>
      </c>
      <c r="Z37" s="466">
        <f>V37+X37</f>
        <v>-41000</v>
      </c>
      <c r="AA37" s="464">
        <f>SUM(S37:X37)</f>
        <v>372000</v>
      </c>
    </row>
    <row r="38" spans="1:27" ht="6" customHeight="1">
      <c r="A38" s="483"/>
      <c r="B38" s="484"/>
      <c r="C38" s="482"/>
      <c r="D38" s="462"/>
      <c r="E38" s="462"/>
      <c r="F38" s="462"/>
      <c r="G38" s="462"/>
      <c r="H38" s="462"/>
      <c r="I38" s="462"/>
      <c r="J38" s="462"/>
      <c r="K38" s="463"/>
      <c r="L38" s="482"/>
      <c r="M38" s="462"/>
      <c r="N38" s="462"/>
      <c r="O38" s="462"/>
      <c r="P38" s="462"/>
      <c r="Q38" s="464"/>
      <c r="R38" s="482"/>
      <c r="S38" s="462"/>
      <c r="T38" s="462"/>
      <c r="U38" s="462"/>
      <c r="V38" s="462"/>
      <c r="W38" s="462"/>
      <c r="X38" s="464"/>
      <c r="Y38" s="465"/>
      <c r="Z38" s="466"/>
      <c r="AA38" s="464"/>
    </row>
    <row r="39" spans="1:27" ht="15.75" thickBot="1">
      <c r="A39" s="485" t="s">
        <v>60</v>
      </c>
      <c r="B39" s="486">
        <f aca="true" t="shared" si="16" ref="B39:AA39">SUM(B32:B38)</f>
        <v>342893</v>
      </c>
      <c r="C39" s="486"/>
      <c r="D39" s="487">
        <f t="shared" si="16"/>
        <v>-21084000</v>
      </c>
      <c r="E39" s="487">
        <f t="shared" si="16"/>
        <v>-129353000</v>
      </c>
      <c r="F39" s="487">
        <f t="shared" si="16"/>
        <v>23856000</v>
      </c>
      <c r="G39" s="487"/>
      <c r="H39" s="487">
        <f t="shared" si="16"/>
        <v>17817000</v>
      </c>
      <c r="I39" s="487"/>
      <c r="J39" s="487">
        <f t="shared" si="16"/>
        <v>134597000</v>
      </c>
      <c r="K39" s="487">
        <f t="shared" si="16"/>
        <v>-44867000</v>
      </c>
      <c r="L39" s="488"/>
      <c r="M39" s="487">
        <f t="shared" si="16"/>
        <v>6580000</v>
      </c>
      <c r="N39" s="487">
        <f t="shared" si="16"/>
        <v>1534000</v>
      </c>
      <c r="O39" s="487">
        <f t="shared" si="16"/>
        <v>-512000</v>
      </c>
      <c r="P39" s="487">
        <f t="shared" si="16"/>
        <v>7190000</v>
      </c>
      <c r="Q39" s="489">
        <f t="shared" si="16"/>
        <v>-2397000</v>
      </c>
      <c r="R39" s="488"/>
      <c r="S39" s="487">
        <f t="shared" si="16"/>
        <v>-14504000</v>
      </c>
      <c r="T39" s="487">
        <f t="shared" si="16"/>
        <v>-129353000</v>
      </c>
      <c r="U39" s="487">
        <f t="shared" si="16"/>
        <v>25390000</v>
      </c>
      <c r="V39" s="487">
        <f t="shared" si="16"/>
        <v>17305000</v>
      </c>
      <c r="W39" s="487">
        <f t="shared" si="16"/>
        <v>141787000</v>
      </c>
      <c r="X39" s="489">
        <f t="shared" si="16"/>
        <v>-47264000</v>
      </c>
      <c r="Y39" s="490">
        <f t="shared" si="16"/>
        <v>23320000</v>
      </c>
      <c r="Z39" s="491">
        <f t="shared" si="16"/>
        <v>-29959000</v>
      </c>
      <c r="AA39" s="492">
        <f t="shared" si="16"/>
        <v>-6639000</v>
      </c>
    </row>
    <row r="40" spans="1:27" ht="9" customHeight="1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56"/>
      <c r="W40" s="426"/>
      <c r="X40" s="426"/>
      <c r="Y40" s="426"/>
      <c r="Z40" s="426"/>
      <c r="AA40" s="426"/>
    </row>
    <row r="41" spans="1:27" ht="18" customHeight="1">
      <c r="A41" s="426"/>
      <c r="B41" s="426"/>
      <c r="C41" s="426"/>
      <c r="D41" s="493" t="s">
        <v>155</v>
      </c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56"/>
      <c r="W41" s="426"/>
      <c r="X41" s="426"/>
      <c r="Y41" s="426"/>
      <c r="Z41" s="426"/>
      <c r="AA41" s="426"/>
    </row>
    <row r="42" spans="1:27" ht="18">
      <c r="A42" s="426"/>
      <c r="B42" s="426"/>
      <c r="C42" s="426"/>
      <c r="D42" s="493" t="s">
        <v>152</v>
      </c>
      <c r="E42" s="426"/>
      <c r="F42" s="426"/>
      <c r="G42" s="426"/>
      <c r="H42" s="426"/>
      <c r="I42" s="426"/>
      <c r="J42" s="426"/>
      <c r="K42" s="426"/>
      <c r="L42" s="426"/>
      <c r="M42" s="494"/>
      <c r="N42" s="494"/>
      <c r="O42" s="426"/>
      <c r="P42" s="494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</row>
    <row r="43" spans="4:27" s="186" customFormat="1" ht="18.75" customHeight="1">
      <c r="D43" s="189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9"/>
      <c r="V43" s="218"/>
      <c r="W43" s="219"/>
      <c r="X43" s="218"/>
      <c r="Y43" s="219"/>
      <c r="Z43" s="218"/>
      <c r="AA43" s="218"/>
    </row>
    <row r="44" spans="7:27" s="186" customFormat="1" ht="18.75" customHeight="1"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</row>
    <row r="45" spans="5:27" s="186" customFormat="1" ht="18.75" customHeight="1">
      <c r="E45" s="188"/>
      <c r="F45" s="187"/>
      <c r="G45" s="220"/>
      <c r="H45" s="218"/>
      <c r="I45" s="218"/>
      <c r="J45" s="220"/>
      <c r="K45" s="219"/>
      <c r="L45" s="218"/>
      <c r="M45" s="218"/>
      <c r="N45" s="220"/>
      <c r="O45" s="219"/>
      <c r="P45" s="220"/>
      <c r="Q45" s="218"/>
      <c r="R45" s="218"/>
      <c r="S45" s="218"/>
      <c r="T45" s="218"/>
      <c r="U45" s="220"/>
      <c r="V45" s="218"/>
      <c r="W45" s="220"/>
      <c r="X45" s="218"/>
      <c r="Y45" s="220"/>
      <c r="Z45" s="218"/>
      <c r="AA45" s="218"/>
    </row>
    <row r="46" spans="10:11" ht="15">
      <c r="J46" s="217"/>
      <c r="K46" s="217"/>
    </row>
  </sheetData>
  <sheetProtection/>
  <mergeCells count="5">
    <mergeCell ref="G6:I6"/>
    <mergeCell ref="Y4:AA4"/>
    <mergeCell ref="L4:Q4"/>
    <mergeCell ref="C4:K4"/>
    <mergeCell ref="R4:X4"/>
  </mergeCells>
  <printOptions/>
  <pageMargins left="0.43" right="0.37" top="0.75" bottom="0.25" header="0.3" footer="0.3"/>
  <pageSetup horizontalDpi="600" verticalDpi="600" orientation="landscape" paperSize="5" scale="75" r:id="rId1"/>
  <colBreaks count="1" manualBreakCount="1">
    <brk id="17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" sqref="I5"/>
    </sheetView>
  </sheetViews>
  <sheetFormatPr defaultColWidth="9.33203125" defaultRowHeight="12.75"/>
  <cols>
    <col min="1" max="1" width="24.16015625" style="271" customWidth="1"/>
    <col min="2" max="2" width="16.5" style="271" customWidth="1"/>
    <col min="3" max="3" width="18" style="271" bestFit="1" customWidth="1"/>
    <col min="4" max="4" width="18" style="271" customWidth="1"/>
    <col min="5" max="5" width="16.5" style="271" customWidth="1"/>
    <col min="6" max="6" width="4" style="272" customWidth="1"/>
    <col min="7" max="7" width="19.5" style="272" customWidth="1"/>
    <col min="8" max="8" width="3.83203125" style="272" customWidth="1"/>
    <col min="9" max="9" width="16.5" style="272" customWidth="1"/>
    <col min="10" max="10" width="17.33203125" style="272" customWidth="1"/>
    <col min="11" max="14" width="16.5" style="272" customWidth="1"/>
    <col min="15" max="15" width="17.83203125" style="272" customWidth="1"/>
    <col min="16" max="16" width="16.5" style="272" customWidth="1"/>
    <col min="17" max="17" width="17.83203125" style="272" bestFit="1" customWidth="1"/>
    <col min="18" max="18" width="17.83203125" style="272" customWidth="1"/>
    <col min="19" max="21" width="16.5" style="272" customWidth="1"/>
    <col min="22" max="22" width="18.33203125" style="272" bestFit="1" customWidth="1"/>
    <col min="23" max="23" width="19.16015625" style="272" customWidth="1"/>
    <col min="24" max="25" width="18.33203125" style="272" customWidth="1"/>
    <col min="26" max="16384" width="9.33203125" style="271" customWidth="1"/>
  </cols>
  <sheetData>
    <row r="1" spans="1:25" s="321" customFormat="1" ht="16.5">
      <c r="A1" s="324" t="s">
        <v>208</v>
      </c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203" t="s">
        <v>207</v>
      </c>
      <c r="Q1" s="323"/>
      <c r="R1" s="323"/>
      <c r="S1" s="323"/>
      <c r="T1" s="323"/>
      <c r="U1" s="323"/>
      <c r="V1" s="323"/>
      <c r="W1" s="323"/>
      <c r="X1" s="323"/>
      <c r="Y1" s="322"/>
    </row>
    <row r="2" spans="1:25" s="317" customFormat="1" ht="6" customHeight="1">
      <c r="A2" s="320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8"/>
    </row>
    <row r="3" spans="1:25" ht="15.75" customHeight="1" thickBot="1">
      <c r="A3" s="316"/>
      <c r="B3" s="121">
        <v>-1</v>
      </c>
      <c r="C3" s="121">
        <v>-2</v>
      </c>
      <c r="D3" s="121">
        <v>-3</v>
      </c>
      <c r="E3" s="121">
        <v>-4</v>
      </c>
      <c r="F3" s="121"/>
      <c r="G3" s="121">
        <v>-5</v>
      </c>
      <c r="H3" s="121"/>
      <c r="I3" s="121">
        <v>-6</v>
      </c>
      <c r="J3" s="121">
        <v>-7</v>
      </c>
      <c r="K3" s="121">
        <v>-8</v>
      </c>
      <c r="L3" s="121">
        <v>-9</v>
      </c>
      <c r="M3" s="121">
        <v>-10</v>
      </c>
      <c r="N3" s="121">
        <v>-11</v>
      </c>
      <c r="O3" s="121">
        <v>-12</v>
      </c>
      <c r="P3" s="121">
        <v>-13</v>
      </c>
      <c r="Q3" s="121">
        <v>-14</v>
      </c>
      <c r="R3" s="121">
        <v>-15</v>
      </c>
      <c r="S3" s="121">
        <v>-16</v>
      </c>
      <c r="T3" s="121">
        <v>-17</v>
      </c>
      <c r="U3" s="121">
        <v>-18</v>
      </c>
      <c r="V3" s="121">
        <v>-19</v>
      </c>
      <c r="W3" s="121">
        <v>-20</v>
      </c>
      <c r="X3" s="121">
        <v>-21</v>
      </c>
      <c r="Y3" s="121">
        <v>-22</v>
      </c>
    </row>
    <row r="4" spans="1:25" ht="18.75" thickBot="1">
      <c r="A4" s="315"/>
      <c r="B4" s="570" t="s">
        <v>156</v>
      </c>
      <c r="C4" s="571"/>
      <c r="D4" s="571"/>
      <c r="E4" s="571"/>
      <c r="F4" s="571"/>
      <c r="G4" s="571"/>
      <c r="H4" s="571"/>
      <c r="I4" s="571"/>
      <c r="J4" s="572"/>
      <c r="K4" s="573" t="s">
        <v>157</v>
      </c>
      <c r="L4" s="573"/>
      <c r="M4" s="573"/>
      <c r="N4" s="573"/>
      <c r="O4" s="574"/>
      <c r="P4" s="575" t="s">
        <v>61</v>
      </c>
      <c r="Q4" s="576"/>
      <c r="R4" s="576"/>
      <c r="S4" s="576"/>
      <c r="T4" s="576"/>
      <c r="U4" s="576"/>
      <c r="V4" s="577"/>
      <c r="W4" s="566" t="s">
        <v>104</v>
      </c>
      <c r="X4" s="567"/>
      <c r="Y4" s="568"/>
    </row>
    <row r="5" spans="1:25" s="287" customFormat="1" ht="82.5" customHeight="1" thickBot="1">
      <c r="A5" s="314" t="s">
        <v>37</v>
      </c>
      <c r="B5" s="313" t="s">
        <v>143</v>
      </c>
      <c r="C5" s="312" t="s">
        <v>58</v>
      </c>
      <c r="D5" s="312" t="s">
        <v>198</v>
      </c>
      <c r="E5" s="308" t="s">
        <v>114</v>
      </c>
      <c r="F5" s="311"/>
      <c r="G5" s="307" t="s">
        <v>158</v>
      </c>
      <c r="H5" s="307"/>
      <c r="I5" s="304" t="s">
        <v>147</v>
      </c>
      <c r="J5" s="306" t="s">
        <v>148</v>
      </c>
      <c r="K5" s="310" t="s">
        <v>62</v>
      </c>
      <c r="L5" s="308" t="s">
        <v>114</v>
      </c>
      <c r="M5" s="307" t="s">
        <v>91</v>
      </c>
      <c r="N5" s="304" t="s">
        <v>147</v>
      </c>
      <c r="O5" s="306" t="s">
        <v>148</v>
      </c>
      <c r="P5" s="309" t="s">
        <v>62</v>
      </c>
      <c r="Q5" s="312" t="s">
        <v>58</v>
      </c>
      <c r="R5" s="312" t="s">
        <v>198</v>
      </c>
      <c r="S5" s="308" t="s">
        <v>114</v>
      </c>
      <c r="T5" s="307" t="s">
        <v>90</v>
      </c>
      <c r="U5" s="304" t="s">
        <v>147</v>
      </c>
      <c r="V5" s="306" t="s">
        <v>148</v>
      </c>
      <c r="W5" s="305" t="s">
        <v>189</v>
      </c>
      <c r="X5" s="304" t="s">
        <v>190</v>
      </c>
      <c r="Y5" s="303" t="s">
        <v>191</v>
      </c>
    </row>
    <row r="6" spans="1:25" s="293" customFormat="1" ht="18" customHeight="1">
      <c r="A6" s="302"/>
      <c r="B6" s="301"/>
      <c r="C6" s="301"/>
      <c r="D6" s="301"/>
      <c r="E6" s="301"/>
      <c r="F6" s="569"/>
      <c r="G6" s="569"/>
      <c r="H6" s="569"/>
      <c r="I6" s="299"/>
      <c r="J6" s="300" t="s">
        <v>142</v>
      </c>
      <c r="K6" s="506"/>
      <c r="L6" s="507"/>
      <c r="M6" s="297" t="s">
        <v>141</v>
      </c>
      <c r="N6" s="299"/>
      <c r="O6" s="298" t="s">
        <v>140</v>
      </c>
      <c r="P6" s="295" t="s">
        <v>139</v>
      </c>
      <c r="Q6" s="297" t="s">
        <v>59</v>
      </c>
      <c r="R6" s="297" t="s">
        <v>138</v>
      </c>
      <c r="S6" s="295" t="s">
        <v>96</v>
      </c>
      <c r="T6" s="295" t="s">
        <v>137</v>
      </c>
      <c r="U6" s="295" t="s">
        <v>98</v>
      </c>
      <c r="V6" s="296" t="s">
        <v>136</v>
      </c>
      <c r="W6" s="516" t="s">
        <v>135</v>
      </c>
      <c r="X6" s="295" t="s">
        <v>134</v>
      </c>
      <c r="Y6" s="294" t="s">
        <v>133</v>
      </c>
    </row>
    <row r="7" spans="1:25" s="287" customFormat="1" ht="6" customHeight="1">
      <c r="A7" s="292"/>
      <c r="B7" s="291"/>
      <c r="C7" s="291"/>
      <c r="D7" s="291"/>
      <c r="E7" s="291"/>
      <c r="F7" s="289"/>
      <c r="G7" s="289"/>
      <c r="H7" s="289"/>
      <c r="I7" s="289"/>
      <c r="J7" s="289"/>
      <c r="K7" s="290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8"/>
      <c r="W7" s="290"/>
      <c r="X7" s="289"/>
      <c r="Y7" s="288"/>
    </row>
    <row r="8" spans="1:25" ht="15">
      <c r="A8" s="195" t="s">
        <v>0</v>
      </c>
      <c r="B8" s="196">
        <v>-71000</v>
      </c>
      <c r="C8" s="196">
        <v>-1556000</v>
      </c>
      <c r="D8" s="196">
        <v>888000</v>
      </c>
      <c r="E8" s="196">
        <v>287000</v>
      </c>
      <c r="F8" s="205"/>
      <c r="G8" s="205">
        <v>27000</v>
      </c>
      <c r="H8" s="205"/>
      <c r="I8" s="205">
        <v>2184000</v>
      </c>
      <c r="J8" s="282">
        <f aca="true" t="shared" si="0" ref="J8:J30">-ROUND((I8/3)/1000,0)*1000</f>
        <v>-728000</v>
      </c>
      <c r="K8" s="212">
        <v>100000</v>
      </c>
      <c r="L8" s="205">
        <v>9000</v>
      </c>
      <c r="M8" s="205">
        <f aca="true" t="shared" si="1" ref="M8:M19">-ROUND(((L8)/3)/1000,0)*1000</f>
        <v>-3000</v>
      </c>
      <c r="N8" s="205">
        <v>31000</v>
      </c>
      <c r="O8" s="211">
        <f aca="true" t="shared" si="2" ref="O8:O23">-ROUND(N8/3,-3)</f>
        <v>-10000</v>
      </c>
      <c r="P8" s="205">
        <f aca="true" t="shared" si="3" ref="P8:P30">B8+K8</f>
        <v>29000</v>
      </c>
      <c r="Q8" s="205">
        <f>C8</f>
        <v>-1556000</v>
      </c>
      <c r="R8" s="205">
        <f aca="true" t="shared" si="4" ref="R8:R30">D8</f>
        <v>888000</v>
      </c>
      <c r="S8" s="205">
        <f aca="true" t="shared" si="5" ref="S8:S30">E8+L8</f>
        <v>296000</v>
      </c>
      <c r="T8" s="205">
        <f>G8+M8</f>
        <v>24000</v>
      </c>
      <c r="U8" s="205">
        <f>I8+N8</f>
        <v>2215000</v>
      </c>
      <c r="V8" s="211">
        <f>J8+O8</f>
        <v>-738000</v>
      </c>
      <c r="W8" s="212">
        <f>P8+Q8+R8+S8+U8</f>
        <v>1872000</v>
      </c>
      <c r="X8" s="205">
        <f>T8+V8</f>
        <v>-714000</v>
      </c>
      <c r="Y8" s="211">
        <f>W8+X8</f>
        <v>1158000</v>
      </c>
    </row>
    <row r="9" spans="1:25" ht="15">
      <c r="A9" s="194" t="s">
        <v>1</v>
      </c>
      <c r="B9" s="192">
        <v>-419000</v>
      </c>
      <c r="C9" s="192">
        <v>0</v>
      </c>
      <c r="D9" s="192">
        <v>2664000</v>
      </c>
      <c r="E9" s="192">
        <v>0</v>
      </c>
      <c r="F9" s="206"/>
      <c r="G9" s="205">
        <v>-608000</v>
      </c>
      <c r="H9" s="206"/>
      <c r="I9" s="206">
        <v>1041000</v>
      </c>
      <c r="J9" s="284">
        <f t="shared" si="0"/>
        <v>-347000</v>
      </c>
      <c r="K9" s="193">
        <v>2000</v>
      </c>
      <c r="L9" s="206">
        <v>0</v>
      </c>
      <c r="M9" s="206">
        <f t="shared" si="1"/>
        <v>0</v>
      </c>
      <c r="N9" s="206">
        <v>4000</v>
      </c>
      <c r="O9" s="207">
        <f t="shared" si="2"/>
        <v>-1000</v>
      </c>
      <c r="P9" s="206">
        <f t="shared" si="3"/>
        <v>-417000</v>
      </c>
      <c r="Q9" s="206">
        <f aca="true" t="shared" si="6" ref="Q9:Q30">C9</f>
        <v>0</v>
      </c>
      <c r="R9" s="206">
        <f t="shared" si="4"/>
        <v>2664000</v>
      </c>
      <c r="S9" s="206">
        <f t="shared" si="5"/>
        <v>0</v>
      </c>
      <c r="T9" s="206">
        <f aca="true" t="shared" si="7" ref="T9:T30">G9+M9</f>
        <v>-608000</v>
      </c>
      <c r="U9" s="206">
        <f aca="true" t="shared" si="8" ref="U9:U30">I9+N9</f>
        <v>1045000</v>
      </c>
      <c r="V9" s="207">
        <f aca="true" t="shared" si="9" ref="V9:V30">J9+O9</f>
        <v>-348000</v>
      </c>
      <c r="W9" s="193">
        <f aca="true" t="shared" si="10" ref="W9:W30">P9+Q9+R9+S9+U9</f>
        <v>3292000</v>
      </c>
      <c r="X9" s="206">
        <f aca="true" t="shared" si="11" ref="X9:X30">T9+V9</f>
        <v>-956000</v>
      </c>
      <c r="Y9" s="207">
        <f aca="true" t="shared" si="12" ref="Y9:Y30">SUM(P9:V9)</f>
        <v>2336000</v>
      </c>
    </row>
    <row r="10" spans="1:25" ht="15">
      <c r="A10" s="194" t="s">
        <v>2</v>
      </c>
      <c r="B10" s="192">
        <v>-439000</v>
      </c>
      <c r="C10" s="192">
        <v>-4980000</v>
      </c>
      <c r="D10" s="192">
        <v>2753000</v>
      </c>
      <c r="E10" s="192">
        <v>299000</v>
      </c>
      <c r="F10" s="206"/>
      <c r="G10" s="205">
        <v>341000</v>
      </c>
      <c r="H10" s="206"/>
      <c r="I10" s="206">
        <v>4375000</v>
      </c>
      <c r="J10" s="284">
        <f t="shared" si="0"/>
        <v>-1458000</v>
      </c>
      <c r="K10" s="193">
        <v>-524000</v>
      </c>
      <c r="L10" s="206">
        <v>14000</v>
      </c>
      <c r="M10" s="206">
        <f t="shared" si="1"/>
        <v>-5000</v>
      </c>
      <c r="N10" s="206">
        <v>151000</v>
      </c>
      <c r="O10" s="207">
        <f t="shared" si="2"/>
        <v>-50000</v>
      </c>
      <c r="P10" s="206">
        <f t="shared" si="3"/>
        <v>-963000</v>
      </c>
      <c r="Q10" s="206">
        <f t="shared" si="6"/>
        <v>-4980000</v>
      </c>
      <c r="R10" s="206">
        <f t="shared" si="4"/>
        <v>2753000</v>
      </c>
      <c r="S10" s="206">
        <f t="shared" si="5"/>
        <v>313000</v>
      </c>
      <c r="T10" s="206">
        <f t="shared" si="7"/>
        <v>336000</v>
      </c>
      <c r="U10" s="206">
        <f t="shared" si="8"/>
        <v>4526000</v>
      </c>
      <c r="V10" s="207">
        <f t="shared" si="9"/>
        <v>-1508000</v>
      </c>
      <c r="W10" s="193">
        <f t="shared" si="10"/>
        <v>1649000</v>
      </c>
      <c r="X10" s="206">
        <f t="shared" si="11"/>
        <v>-1172000</v>
      </c>
      <c r="Y10" s="207">
        <f t="shared" si="12"/>
        <v>477000</v>
      </c>
    </row>
    <row r="11" spans="1:25" ht="15">
      <c r="A11" s="194" t="s">
        <v>3</v>
      </c>
      <c r="B11" s="192">
        <v>1063000</v>
      </c>
      <c r="C11" s="192">
        <v>-2507000</v>
      </c>
      <c r="D11" s="192">
        <v>1419000</v>
      </c>
      <c r="E11" s="192">
        <v>1056000</v>
      </c>
      <c r="F11" s="206"/>
      <c r="G11" s="205">
        <v>-185000</v>
      </c>
      <c r="H11" s="206"/>
      <c r="I11" s="206">
        <v>3301000</v>
      </c>
      <c r="J11" s="284">
        <f t="shared" si="0"/>
        <v>-1100000</v>
      </c>
      <c r="K11" s="193">
        <v>-96000</v>
      </c>
      <c r="L11" s="206">
        <v>8000</v>
      </c>
      <c r="M11" s="206">
        <f t="shared" si="1"/>
        <v>-3000</v>
      </c>
      <c r="N11" s="206">
        <v>33000</v>
      </c>
      <c r="O11" s="207">
        <f t="shared" si="2"/>
        <v>-11000</v>
      </c>
      <c r="P11" s="206">
        <f t="shared" si="3"/>
        <v>967000</v>
      </c>
      <c r="Q11" s="206">
        <f t="shared" si="6"/>
        <v>-2507000</v>
      </c>
      <c r="R11" s="206">
        <f t="shared" si="4"/>
        <v>1419000</v>
      </c>
      <c r="S11" s="206">
        <f t="shared" si="5"/>
        <v>1064000</v>
      </c>
      <c r="T11" s="206">
        <f t="shared" si="7"/>
        <v>-188000</v>
      </c>
      <c r="U11" s="206">
        <f t="shared" si="8"/>
        <v>3334000</v>
      </c>
      <c r="V11" s="207">
        <f t="shared" si="9"/>
        <v>-1111000</v>
      </c>
      <c r="W11" s="193">
        <f t="shared" si="10"/>
        <v>4277000</v>
      </c>
      <c r="X11" s="206">
        <f t="shared" si="11"/>
        <v>-1299000</v>
      </c>
      <c r="Y11" s="207">
        <f t="shared" si="12"/>
        <v>2978000</v>
      </c>
    </row>
    <row r="12" spans="1:25" ht="15">
      <c r="A12" s="194" t="s">
        <v>29</v>
      </c>
      <c r="B12" s="192">
        <v>-2015000</v>
      </c>
      <c r="C12" s="192">
        <v>-4303000</v>
      </c>
      <c r="D12" s="192">
        <v>2338000</v>
      </c>
      <c r="E12" s="192">
        <v>1555000</v>
      </c>
      <c r="F12" s="206"/>
      <c r="G12" s="205">
        <v>-166000</v>
      </c>
      <c r="H12" s="206"/>
      <c r="I12" s="206">
        <v>3381000</v>
      </c>
      <c r="J12" s="284">
        <f t="shared" si="0"/>
        <v>-1127000</v>
      </c>
      <c r="K12" s="193">
        <v>1562000</v>
      </c>
      <c r="L12" s="206">
        <v>134000</v>
      </c>
      <c r="M12" s="206">
        <f t="shared" si="1"/>
        <v>-45000</v>
      </c>
      <c r="N12" s="206">
        <v>317000</v>
      </c>
      <c r="O12" s="207">
        <f t="shared" si="2"/>
        <v>-106000</v>
      </c>
      <c r="P12" s="206">
        <f t="shared" si="3"/>
        <v>-453000</v>
      </c>
      <c r="Q12" s="206">
        <f t="shared" si="6"/>
        <v>-4303000</v>
      </c>
      <c r="R12" s="206">
        <f t="shared" si="4"/>
        <v>2338000</v>
      </c>
      <c r="S12" s="206">
        <f t="shared" si="5"/>
        <v>1689000</v>
      </c>
      <c r="T12" s="206">
        <f t="shared" si="7"/>
        <v>-211000</v>
      </c>
      <c r="U12" s="206">
        <f t="shared" si="8"/>
        <v>3698000</v>
      </c>
      <c r="V12" s="207">
        <f t="shared" si="9"/>
        <v>-1233000</v>
      </c>
      <c r="W12" s="193">
        <f t="shared" si="10"/>
        <v>2969000</v>
      </c>
      <c r="X12" s="206">
        <f t="shared" si="11"/>
        <v>-1444000</v>
      </c>
      <c r="Y12" s="207">
        <f t="shared" si="12"/>
        <v>1525000</v>
      </c>
    </row>
    <row r="13" spans="1:25" ht="15">
      <c r="A13" s="194" t="s">
        <v>4</v>
      </c>
      <c r="B13" s="192">
        <v>-1183000</v>
      </c>
      <c r="C13" s="192">
        <v>-6556000</v>
      </c>
      <c r="D13" s="192">
        <v>3625000</v>
      </c>
      <c r="E13" s="192">
        <v>323000</v>
      </c>
      <c r="F13" s="206"/>
      <c r="G13" s="205">
        <v>436000</v>
      </c>
      <c r="H13" s="206"/>
      <c r="I13" s="206">
        <v>5813000</v>
      </c>
      <c r="J13" s="284">
        <f t="shared" si="0"/>
        <v>-1938000</v>
      </c>
      <c r="K13" s="193">
        <v>-490000</v>
      </c>
      <c r="L13" s="206">
        <v>18000</v>
      </c>
      <c r="M13" s="206">
        <f t="shared" si="1"/>
        <v>-6000</v>
      </c>
      <c r="N13" s="206">
        <v>191000</v>
      </c>
      <c r="O13" s="207">
        <f t="shared" si="2"/>
        <v>-64000</v>
      </c>
      <c r="P13" s="206">
        <f t="shared" si="3"/>
        <v>-1673000</v>
      </c>
      <c r="Q13" s="206">
        <f t="shared" si="6"/>
        <v>-6556000</v>
      </c>
      <c r="R13" s="206">
        <f t="shared" si="4"/>
        <v>3625000</v>
      </c>
      <c r="S13" s="206">
        <f t="shared" si="5"/>
        <v>341000</v>
      </c>
      <c r="T13" s="206">
        <f t="shared" si="7"/>
        <v>430000</v>
      </c>
      <c r="U13" s="206">
        <f t="shared" si="8"/>
        <v>6004000</v>
      </c>
      <c r="V13" s="207">
        <f t="shared" si="9"/>
        <v>-2002000</v>
      </c>
      <c r="W13" s="193">
        <f t="shared" si="10"/>
        <v>1741000</v>
      </c>
      <c r="X13" s="206">
        <f t="shared" si="11"/>
        <v>-1572000</v>
      </c>
      <c r="Y13" s="207">
        <f t="shared" si="12"/>
        <v>169000</v>
      </c>
    </row>
    <row r="14" spans="1:25" ht="15">
      <c r="A14" s="194" t="s">
        <v>5</v>
      </c>
      <c r="B14" s="192">
        <v>49000</v>
      </c>
      <c r="C14" s="192">
        <v>-12359000</v>
      </c>
      <c r="D14" s="192">
        <v>6705000</v>
      </c>
      <c r="E14" s="192">
        <v>2962000</v>
      </c>
      <c r="F14" s="206"/>
      <c r="G14" s="205">
        <v>-53000</v>
      </c>
      <c r="H14" s="206"/>
      <c r="I14" s="206">
        <v>8892000</v>
      </c>
      <c r="J14" s="284">
        <f t="shared" si="0"/>
        <v>-2964000</v>
      </c>
      <c r="K14" s="193">
        <v>-61000</v>
      </c>
      <c r="L14" s="206">
        <v>123000</v>
      </c>
      <c r="M14" s="206">
        <f t="shared" si="1"/>
        <v>-41000</v>
      </c>
      <c r="N14" s="206">
        <v>344000</v>
      </c>
      <c r="O14" s="207">
        <f t="shared" si="2"/>
        <v>-115000</v>
      </c>
      <c r="P14" s="206">
        <f t="shared" si="3"/>
        <v>-12000</v>
      </c>
      <c r="Q14" s="206">
        <f t="shared" si="6"/>
        <v>-12359000</v>
      </c>
      <c r="R14" s="206">
        <f t="shared" si="4"/>
        <v>6705000</v>
      </c>
      <c r="S14" s="206">
        <f t="shared" si="5"/>
        <v>3085000</v>
      </c>
      <c r="T14" s="206">
        <f t="shared" si="7"/>
        <v>-94000</v>
      </c>
      <c r="U14" s="206">
        <f t="shared" si="8"/>
        <v>9236000</v>
      </c>
      <c r="V14" s="207">
        <f t="shared" si="9"/>
        <v>-3079000</v>
      </c>
      <c r="W14" s="193">
        <f t="shared" si="10"/>
        <v>6655000</v>
      </c>
      <c r="X14" s="206">
        <f t="shared" si="11"/>
        <v>-3173000</v>
      </c>
      <c r="Y14" s="207">
        <f t="shared" si="12"/>
        <v>3482000</v>
      </c>
    </row>
    <row r="15" spans="1:25" ht="15">
      <c r="A15" s="194" t="s">
        <v>6</v>
      </c>
      <c r="B15" s="192">
        <v>-787000</v>
      </c>
      <c r="C15" s="192">
        <v>-1505000</v>
      </c>
      <c r="D15" s="192">
        <v>861000</v>
      </c>
      <c r="E15" s="192">
        <v>120000</v>
      </c>
      <c r="F15" s="206"/>
      <c r="G15" s="205">
        <v>86000</v>
      </c>
      <c r="H15" s="206"/>
      <c r="I15" s="206">
        <v>2139000</v>
      </c>
      <c r="J15" s="284">
        <f t="shared" si="0"/>
        <v>-713000</v>
      </c>
      <c r="K15" s="193">
        <v>417000</v>
      </c>
      <c r="L15" s="206">
        <v>8000</v>
      </c>
      <c r="M15" s="206">
        <f t="shared" si="1"/>
        <v>-3000</v>
      </c>
      <c r="N15" s="206">
        <v>80000</v>
      </c>
      <c r="O15" s="207">
        <f t="shared" si="2"/>
        <v>-27000</v>
      </c>
      <c r="P15" s="206">
        <f t="shared" si="3"/>
        <v>-370000</v>
      </c>
      <c r="Q15" s="206">
        <f t="shared" si="6"/>
        <v>-1505000</v>
      </c>
      <c r="R15" s="206">
        <f t="shared" si="4"/>
        <v>861000</v>
      </c>
      <c r="S15" s="206">
        <f t="shared" si="5"/>
        <v>128000</v>
      </c>
      <c r="T15" s="206">
        <f t="shared" si="7"/>
        <v>83000</v>
      </c>
      <c r="U15" s="206">
        <f t="shared" si="8"/>
        <v>2219000</v>
      </c>
      <c r="V15" s="207">
        <f t="shared" si="9"/>
        <v>-740000</v>
      </c>
      <c r="W15" s="193">
        <f t="shared" si="10"/>
        <v>1333000</v>
      </c>
      <c r="X15" s="206">
        <f t="shared" si="11"/>
        <v>-657000</v>
      </c>
      <c r="Y15" s="207">
        <f t="shared" si="12"/>
        <v>676000</v>
      </c>
    </row>
    <row r="16" spans="1:25" ht="15">
      <c r="A16" s="194" t="s">
        <v>7</v>
      </c>
      <c r="B16" s="192">
        <v>-2569000</v>
      </c>
      <c r="C16" s="192">
        <v>-12346000</v>
      </c>
      <c r="D16" s="192">
        <v>6733000</v>
      </c>
      <c r="E16" s="192">
        <v>2012000</v>
      </c>
      <c r="F16" s="206"/>
      <c r="G16" s="205">
        <v>296000</v>
      </c>
      <c r="H16" s="206"/>
      <c r="I16" s="206">
        <v>9127000</v>
      </c>
      <c r="J16" s="284">
        <f t="shared" si="0"/>
        <v>-3042000</v>
      </c>
      <c r="K16" s="193">
        <v>-808000</v>
      </c>
      <c r="L16" s="206">
        <v>106000</v>
      </c>
      <c r="M16" s="206">
        <f t="shared" si="1"/>
        <v>-35000</v>
      </c>
      <c r="N16" s="206">
        <v>454000</v>
      </c>
      <c r="O16" s="207">
        <f t="shared" si="2"/>
        <v>-151000</v>
      </c>
      <c r="P16" s="206">
        <f t="shared" si="3"/>
        <v>-3377000</v>
      </c>
      <c r="Q16" s="206">
        <f t="shared" si="6"/>
        <v>-12346000</v>
      </c>
      <c r="R16" s="206">
        <f t="shared" si="4"/>
        <v>6733000</v>
      </c>
      <c r="S16" s="206">
        <f t="shared" si="5"/>
        <v>2118000</v>
      </c>
      <c r="T16" s="206">
        <f t="shared" si="7"/>
        <v>261000</v>
      </c>
      <c r="U16" s="206">
        <f t="shared" si="8"/>
        <v>9581000</v>
      </c>
      <c r="V16" s="207">
        <f t="shared" si="9"/>
        <v>-3193000</v>
      </c>
      <c r="W16" s="193">
        <f t="shared" si="10"/>
        <v>2709000</v>
      </c>
      <c r="X16" s="206">
        <f t="shared" si="11"/>
        <v>-2932000</v>
      </c>
      <c r="Y16" s="207">
        <f t="shared" si="12"/>
        <v>-223000</v>
      </c>
    </row>
    <row r="17" spans="1:25" ht="15">
      <c r="A17" s="194" t="s">
        <v>8</v>
      </c>
      <c r="B17" s="192">
        <v>-921000</v>
      </c>
      <c r="C17" s="192">
        <v>-6800000</v>
      </c>
      <c r="D17" s="192">
        <v>3689000</v>
      </c>
      <c r="E17" s="192">
        <v>2493000</v>
      </c>
      <c r="F17" s="206"/>
      <c r="G17" s="205">
        <v>-323000</v>
      </c>
      <c r="H17" s="206"/>
      <c r="I17" s="206">
        <v>5317000</v>
      </c>
      <c r="J17" s="284">
        <f t="shared" si="0"/>
        <v>-1772000</v>
      </c>
      <c r="K17" s="193">
        <v>1203000</v>
      </c>
      <c r="L17" s="206">
        <v>141000</v>
      </c>
      <c r="M17" s="206">
        <f t="shared" si="1"/>
        <v>-47000</v>
      </c>
      <c r="N17" s="206">
        <v>345000</v>
      </c>
      <c r="O17" s="207">
        <f t="shared" si="2"/>
        <v>-115000</v>
      </c>
      <c r="P17" s="206">
        <f t="shared" si="3"/>
        <v>282000</v>
      </c>
      <c r="Q17" s="206">
        <f t="shared" si="6"/>
        <v>-6800000</v>
      </c>
      <c r="R17" s="206">
        <f t="shared" si="4"/>
        <v>3689000</v>
      </c>
      <c r="S17" s="206">
        <f t="shared" si="5"/>
        <v>2634000</v>
      </c>
      <c r="T17" s="206">
        <f t="shared" si="7"/>
        <v>-370000</v>
      </c>
      <c r="U17" s="206">
        <f t="shared" si="8"/>
        <v>5662000</v>
      </c>
      <c r="V17" s="207">
        <f t="shared" si="9"/>
        <v>-1887000</v>
      </c>
      <c r="W17" s="193">
        <f t="shared" si="10"/>
        <v>5467000</v>
      </c>
      <c r="X17" s="206">
        <f t="shared" si="11"/>
        <v>-2257000</v>
      </c>
      <c r="Y17" s="207">
        <f t="shared" si="12"/>
        <v>3210000</v>
      </c>
    </row>
    <row r="18" spans="1:25" ht="15">
      <c r="A18" s="194" t="s">
        <v>9</v>
      </c>
      <c r="B18" s="192">
        <v>-35000</v>
      </c>
      <c r="C18" s="192">
        <v>0</v>
      </c>
      <c r="D18" s="192">
        <v>255000</v>
      </c>
      <c r="E18" s="192">
        <v>0</v>
      </c>
      <c r="F18" s="206"/>
      <c r="G18" s="205">
        <v>-82000</v>
      </c>
      <c r="H18" s="206"/>
      <c r="I18" s="206">
        <v>225000</v>
      </c>
      <c r="J18" s="284">
        <f t="shared" si="0"/>
        <v>-75000</v>
      </c>
      <c r="K18" s="193">
        <v>-90000</v>
      </c>
      <c r="L18" s="206">
        <v>0</v>
      </c>
      <c r="M18" s="206">
        <f t="shared" si="1"/>
        <v>0</v>
      </c>
      <c r="N18" s="206">
        <v>14000</v>
      </c>
      <c r="O18" s="207">
        <f t="shared" si="2"/>
        <v>-5000</v>
      </c>
      <c r="P18" s="206">
        <f t="shared" si="3"/>
        <v>-125000</v>
      </c>
      <c r="Q18" s="206">
        <f t="shared" si="6"/>
        <v>0</v>
      </c>
      <c r="R18" s="206">
        <f t="shared" si="4"/>
        <v>255000</v>
      </c>
      <c r="S18" s="206">
        <f t="shared" si="5"/>
        <v>0</v>
      </c>
      <c r="T18" s="206">
        <f t="shared" si="7"/>
        <v>-82000</v>
      </c>
      <c r="U18" s="206">
        <f t="shared" si="8"/>
        <v>239000</v>
      </c>
      <c r="V18" s="207">
        <f t="shared" si="9"/>
        <v>-80000</v>
      </c>
      <c r="W18" s="193">
        <f t="shared" si="10"/>
        <v>369000</v>
      </c>
      <c r="X18" s="206">
        <f t="shared" si="11"/>
        <v>-162000</v>
      </c>
      <c r="Y18" s="207">
        <f t="shared" si="12"/>
        <v>207000</v>
      </c>
    </row>
    <row r="19" spans="1:25" ht="15">
      <c r="A19" s="194" t="s">
        <v>10</v>
      </c>
      <c r="B19" s="192">
        <v>-259000</v>
      </c>
      <c r="C19" s="192">
        <v>0</v>
      </c>
      <c r="D19" s="192">
        <v>1103000</v>
      </c>
      <c r="E19" s="192">
        <v>67000</v>
      </c>
      <c r="F19" s="206"/>
      <c r="G19" s="205">
        <v>-290000</v>
      </c>
      <c r="H19" s="206"/>
      <c r="I19" s="206">
        <v>1218000</v>
      </c>
      <c r="J19" s="284">
        <f t="shared" si="0"/>
        <v>-406000</v>
      </c>
      <c r="K19" s="193">
        <v>256000</v>
      </c>
      <c r="L19" s="206">
        <v>0</v>
      </c>
      <c r="M19" s="206">
        <f t="shared" si="1"/>
        <v>0</v>
      </c>
      <c r="N19" s="206">
        <v>41000</v>
      </c>
      <c r="O19" s="207">
        <f t="shared" si="2"/>
        <v>-14000</v>
      </c>
      <c r="P19" s="206">
        <f t="shared" si="3"/>
        <v>-3000</v>
      </c>
      <c r="Q19" s="206">
        <f t="shared" si="6"/>
        <v>0</v>
      </c>
      <c r="R19" s="206">
        <f t="shared" si="4"/>
        <v>1103000</v>
      </c>
      <c r="S19" s="206">
        <f t="shared" si="5"/>
        <v>67000</v>
      </c>
      <c r="T19" s="206">
        <f t="shared" si="7"/>
        <v>-290000</v>
      </c>
      <c r="U19" s="206">
        <f t="shared" si="8"/>
        <v>1259000</v>
      </c>
      <c r="V19" s="207">
        <f t="shared" si="9"/>
        <v>-420000</v>
      </c>
      <c r="W19" s="193">
        <f t="shared" si="10"/>
        <v>2426000</v>
      </c>
      <c r="X19" s="206">
        <f t="shared" si="11"/>
        <v>-710000</v>
      </c>
      <c r="Y19" s="207">
        <f t="shared" si="12"/>
        <v>1716000</v>
      </c>
    </row>
    <row r="20" spans="1:25" ht="15">
      <c r="A20" s="194" t="s">
        <v>11</v>
      </c>
      <c r="B20" s="192">
        <v>-3133000</v>
      </c>
      <c r="C20" s="192">
        <v>-11526000</v>
      </c>
      <c r="D20" s="192">
        <v>6284000</v>
      </c>
      <c r="E20" s="192">
        <v>2095000</v>
      </c>
      <c r="F20" s="206"/>
      <c r="G20" s="205">
        <v>187000</v>
      </c>
      <c r="H20" s="206"/>
      <c r="I20" s="206">
        <v>8484000</v>
      </c>
      <c r="J20" s="284">
        <f t="shared" si="0"/>
        <v>-2828000</v>
      </c>
      <c r="K20" s="193">
        <v>1340000</v>
      </c>
      <c r="L20" s="206">
        <v>143000</v>
      </c>
      <c r="M20" s="206">
        <f>-ROUND(((L20)/3)/1000,0)*1000+1000</f>
        <v>-47000</v>
      </c>
      <c r="N20" s="206">
        <v>551000</v>
      </c>
      <c r="O20" s="207">
        <f t="shared" si="2"/>
        <v>-184000</v>
      </c>
      <c r="P20" s="206">
        <f t="shared" si="3"/>
        <v>-1793000</v>
      </c>
      <c r="Q20" s="206">
        <f t="shared" si="6"/>
        <v>-11526000</v>
      </c>
      <c r="R20" s="206">
        <f t="shared" si="4"/>
        <v>6284000</v>
      </c>
      <c r="S20" s="206">
        <f t="shared" si="5"/>
        <v>2238000</v>
      </c>
      <c r="T20" s="206">
        <f t="shared" si="7"/>
        <v>140000</v>
      </c>
      <c r="U20" s="206">
        <f t="shared" si="8"/>
        <v>9035000</v>
      </c>
      <c r="V20" s="207">
        <f t="shared" si="9"/>
        <v>-3012000</v>
      </c>
      <c r="W20" s="193">
        <f t="shared" si="10"/>
        <v>4238000</v>
      </c>
      <c r="X20" s="206">
        <f t="shared" si="11"/>
        <v>-2872000</v>
      </c>
      <c r="Y20" s="207">
        <f t="shared" si="12"/>
        <v>1366000</v>
      </c>
    </row>
    <row r="21" spans="1:25" ht="15">
      <c r="A21" s="194" t="s">
        <v>12</v>
      </c>
      <c r="B21" s="192">
        <v>-251000</v>
      </c>
      <c r="C21" s="192">
        <v>-6711000</v>
      </c>
      <c r="D21" s="192">
        <v>3684000</v>
      </c>
      <c r="E21" s="192">
        <v>1548000</v>
      </c>
      <c r="F21" s="206"/>
      <c r="G21" s="205">
        <v>17000</v>
      </c>
      <c r="H21" s="206"/>
      <c r="I21" s="206">
        <v>5580000</v>
      </c>
      <c r="J21" s="284">
        <f t="shared" si="0"/>
        <v>-1860000</v>
      </c>
      <c r="K21" s="193">
        <v>0</v>
      </c>
      <c r="L21" s="206">
        <v>89000</v>
      </c>
      <c r="M21" s="206">
        <f aca="true" t="shared" si="13" ref="M21:M30">-ROUND(((L21)/3)/1000,0)*1000</f>
        <v>-30000</v>
      </c>
      <c r="N21" s="206">
        <v>254000</v>
      </c>
      <c r="O21" s="207">
        <f t="shared" si="2"/>
        <v>-85000</v>
      </c>
      <c r="P21" s="206">
        <f t="shared" si="3"/>
        <v>-251000</v>
      </c>
      <c r="Q21" s="206">
        <f t="shared" si="6"/>
        <v>-6711000</v>
      </c>
      <c r="R21" s="206">
        <f t="shared" si="4"/>
        <v>3684000</v>
      </c>
      <c r="S21" s="206">
        <f t="shared" si="5"/>
        <v>1637000</v>
      </c>
      <c r="T21" s="206">
        <f t="shared" si="7"/>
        <v>-13000</v>
      </c>
      <c r="U21" s="206">
        <f t="shared" si="8"/>
        <v>5834000</v>
      </c>
      <c r="V21" s="207">
        <f t="shared" si="9"/>
        <v>-1945000</v>
      </c>
      <c r="W21" s="193">
        <f t="shared" si="10"/>
        <v>4193000</v>
      </c>
      <c r="X21" s="206">
        <f t="shared" si="11"/>
        <v>-1958000</v>
      </c>
      <c r="Y21" s="207">
        <f t="shared" si="12"/>
        <v>2235000</v>
      </c>
    </row>
    <row r="22" spans="1:25" ht="15">
      <c r="A22" s="194" t="s">
        <v>13</v>
      </c>
      <c r="B22" s="192">
        <v>-3647000</v>
      </c>
      <c r="C22" s="192">
        <v>-9795000</v>
      </c>
      <c r="D22" s="192">
        <v>5368000</v>
      </c>
      <c r="E22" s="192">
        <v>712000</v>
      </c>
      <c r="F22" s="206"/>
      <c r="G22" s="205">
        <v>553000</v>
      </c>
      <c r="H22" s="206"/>
      <c r="I22" s="206">
        <v>7378000</v>
      </c>
      <c r="J22" s="284">
        <f t="shared" si="0"/>
        <v>-2459000</v>
      </c>
      <c r="K22" s="193">
        <v>319000</v>
      </c>
      <c r="L22" s="206">
        <v>35000</v>
      </c>
      <c r="M22" s="206">
        <f t="shared" si="13"/>
        <v>-12000</v>
      </c>
      <c r="N22" s="206">
        <v>191000</v>
      </c>
      <c r="O22" s="207">
        <f t="shared" si="2"/>
        <v>-64000</v>
      </c>
      <c r="P22" s="206">
        <f t="shared" si="3"/>
        <v>-3328000</v>
      </c>
      <c r="Q22" s="206">
        <f t="shared" si="6"/>
        <v>-9795000</v>
      </c>
      <c r="R22" s="206">
        <f t="shared" si="4"/>
        <v>5368000</v>
      </c>
      <c r="S22" s="206">
        <f t="shared" si="5"/>
        <v>747000</v>
      </c>
      <c r="T22" s="206">
        <f t="shared" si="7"/>
        <v>541000</v>
      </c>
      <c r="U22" s="206">
        <f t="shared" si="8"/>
        <v>7569000</v>
      </c>
      <c r="V22" s="207">
        <f t="shared" si="9"/>
        <v>-2523000</v>
      </c>
      <c r="W22" s="193">
        <f t="shared" si="10"/>
        <v>561000</v>
      </c>
      <c r="X22" s="206">
        <f t="shared" si="11"/>
        <v>-1982000</v>
      </c>
      <c r="Y22" s="207">
        <f t="shared" si="12"/>
        <v>-1421000</v>
      </c>
    </row>
    <row r="23" spans="1:25" ht="15">
      <c r="A23" s="194" t="s">
        <v>14</v>
      </c>
      <c r="B23" s="192">
        <v>-676000</v>
      </c>
      <c r="C23" s="192">
        <v>-5525000</v>
      </c>
      <c r="D23" s="192">
        <v>3010000</v>
      </c>
      <c r="E23" s="192">
        <v>1383000</v>
      </c>
      <c r="F23" s="206"/>
      <c r="G23" s="205">
        <v>-30000</v>
      </c>
      <c r="H23" s="206"/>
      <c r="I23" s="206">
        <v>4574000</v>
      </c>
      <c r="J23" s="284">
        <f t="shared" si="0"/>
        <v>-1525000</v>
      </c>
      <c r="K23" s="193">
        <v>779000</v>
      </c>
      <c r="L23" s="206">
        <v>53000</v>
      </c>
      <c r="M23" s="206">
        <f t="shared" si="13"/>
        <v>-18000</v>
      </c>
      <c r="N23" s="206">
        <v>170000</v>
      </c>
      <c r="O23" s="207">
        <f t="shared" si="2"/>
        <v>-57000</v>
      </c>
      <c r="P23" s="206">
        <f t="shared" si="3"/>
        <v>103000</v>
      </c>
      <c r="Q23" s="206">
        <f t="shared" si="6"/>
        <v>-5525000</v>
      </c>
      <c r="R23" s="206">
        <f t="shared" si="4"/>
        <v>3010000</v>
      </c>
      <c r="S23" s="206">
        <f t="shared" si="5"/>
        <v>1436000</v>
      </c>
      <c r="T23" s="206">
        <f t="shared" si="7"/>
        <v>-48000</v>
      </c>
      <c r="U23" s="206">
        <f t="shared" si="8"/>
        <v>4744000</v>
      </c>
      <c r="V23" s="207">
        <f t="shared" si="9"/>
        <v>-1582000</v>
      </c>
      <c r="W23" s="193">
        <f t="shared" si="10"/>
        <v>3768000</v>
      </c>
      <c r="X23" s="206">
        <f t="shared" si="11"/>
        <v>-1630000</v>
      </c>
      <c r="Y23" s="207">
        <f t="shared" si="12"/>
        <v>2138000</v>
      </c>
    </row>
    <row r="24" spans="1:25" ht="15">
      <c r="A24" s="194" t="s">
        <v>15</v>
      </c>
      <c r="B24" s="192">
        <v>-1345000</v>
      </c>
      <c r="C24" s="192">
        <v>-11928000</v>
      </c>
      <c r="D24" s="192">
        <v>6500000</v>
      </c>
      <c r="E24" s="192">
        <v>2253000</v>
      </c>
      <c r="F24" s="206"/>
      <c r="G24" s="205">
        <v>221000</v>
      </c>
      <c r="H24" s="206"/>
      <c r="I24" s="206">
        <v>8422000</v>
      </c>
      <c r="J24" s="284">
        <f t="shared" si="0"/>
        <v>-2807000</v>
      </c>
      <c r="K24" s="193">
        <v>1498000</v>
      </c>
      <c r="L24" s="206">
        <v>167000</v>
      </c>
      <c r="M24" s="206">
        <f t="shared" si="13"/>
        <v>-56000</v>
      </c>
      <c r="N24" s="206">
        <v>650000</v>
      </c>
      <c r="O24" s="207">
        <f>-ROUND(N24/3,-3)+1000</f>
        <v>-216000</v>
      </c>
      <c r="P24" s="206">
        <f t="shared" si="3"/>
        <v>153000</v>
      </c>
      <c r="Q24" s="206">
        <f t="shared" si="6"/>
        <v>-11928000</v>
      </c>
      <c r="R24" s="206">
        <f t="shared" si="4"/>
        <v>6500000</v>
      </c>
      <c r="S24" s="206">
        <f t="shared" si="5"/>
        <v>2420000</v>
      </c>
      <c r="T24" s="206">
        <f t="shared" si="7"/>
        <v>165000</v>
      </c>
      <c r="U24" s="206">
        <f t="shared" si="8"/>
        <v>9072000</v>
      </c>
      <c r="V24" s="207">
        <f t="shared" si="9"/>
        <v>-3023000</v>
      </c>
      <c r="W24" s="193">
        <f t="shared" si="10"/>
        <v>6217000</v>
      </c>
      <c r="X24" s="206">
        <f t="shared" si="11"/>
        <v>-2858000</v>
      </c>
      <c r="Y24" s="207">
        <f t="shared" si="12"/>
        <v>3359000</v>
      </c>
    </row>
    <row r="25" spans="1:25" ht="15">
      <c r="A25" s="194" t="s">
        <v>16</v>
      </c>
      <c r="B25" s="192">
        <v>-618000</v>
      </c>
      <c r="C25" s="192">
        <v>-10295000</v>
      </c>
      <c r="D25" s="192">
        <v>5606000</v>
      </c>
      <c r="E25" s="192">
        <v>2154000</v>
      </c>
      <c r="F25" s="206"/>
      <c r="G25" s="205">
        <v>88000</v>
      </c>
      <c r="H25" s="206"/>
      <c r="I25" s="206">
        <v>7256000</v>
      </c>
      <c r="J25" s="284">
        <f t="shared" si="0"/>
        <v>-2419000</v>
      </c>
      <c r="K25" s="193">
        <v>1648000</v>
      </c>
      <c r="L25" s="206">
        <v>207000</v>
      </c>
      <c r="M25" s="206">
        <f t="shared" si="13"/>
        <v>-69000</v>
      </c>
      <c r="N25" s="206">
        <v>636000</v>
      </c>
      <c r="O25" s="207">
        <f>-ROUND(N25/3,-3)</f>
        <v>-212000</v>
      </c>
      <c r="P25" s="206">
        <f t="shared" si="3"/>
        <v>1030000</v>
      </c>
      <c r="Q25" s="206">
        <f t="shared" si="6"/>
        <v>-10295000</v>
      </c>
      <c r="R25" s="206">
        <f t="shared" si="4"/>
        <v>5606000</v>
      </c>
      <c r="S25" s="206">
        <f t="shared" si="5"/>
        <v>2361000</v>
      </c>
      <c r="T25" s="206">
        <f t="shared" si="7"/>
        <v>19000</v>
      </c>
      <c r="U25" s="206">
        <f t="shared" si="8"/>
        <v>7892000</v>
      </c>
      <c r="V25" s="207">
        <f t="shared" si="9"/>
        <v>-2631000</v>
      </c>
      <c r="W25" s="193">
        <f t="shared" si="10"/>
        <v>6594000</v>
      </c>
      <c r="X25" s="206">
        <f t="shared" si="11"/>
        <v>-2612000</v>
      </c>
      <c r="Y25" s="207">
        <f t="shared" si="12"/>
        <v>3982000</v>
      </c>
    </row>
    <row r="26" spans="1:25" ht="15">
      <c r="A26" s="194" t="s">
        <v>17</v>
      </c>
      <c r="B26" s="192">
        <v>-1515000</v>
      </c>
      <c r="C26" s="192">
        <v>-9855000</v>
      </c>
      <c r="D26" s="192">
        <v>5392000</v>
      </c>
      <c r="E26" s="192">
        <v>1120000</v>
      </c>
      <c r="F26" s="206"/>
      <c r="G26" s="205">
        <v>399000</v>
      </c>
      <c r="H26" s="206"/>
      <c r="I26" s="206">
        <v>7455000</v>
      </c>
      <c r="J26" s="284">
        <f t="shared" si="0"/>
        <v>-2485000</v>
      </c>
      <c r="K26" s="193">
        <v>-391000</v>
      </c>
      <c r="L26" s="206">
        <v>231000</v>
      </c>
      <c r="M26" s="206">
        <f t="shared" si="13"/>
        <v>-77000</v>
      </c>
      <c r="N26" s="206">
        <v>716000</v>
      </c>
      <c r="O26" s="207">
        <f>-ROUND(N26/3,-3)+1000</f>
        <v>-238000</v>
      </c>
      <c r="P26" s="206">
        <f t="shared" si="3"/>
        <v>-1906000</v>
      </c>
      <c r="Q26" s="206">
        <f t="shared" si="6"/>
        <v>-9855000</v>
      </c>
      <c r="R26" s="206">
        <f t="shared" si="4"/>
        <v>5392000</v>
      </c>
      <c r="S26" s="206">
        <f t="shared" si="5"/>
        <v>1351000</v>
      </c>
      <c r="T26" s="206">
        <f t="shared" si="7"/>
        <v>322000</v>
      </c>
      <c r="U26" s="206">
        <f t="shared" si="8"/>
        <v>8171000</v>
      </c>
      <c r="V26" s="207">
        <f t="shared" si="9"/>
        <v>-2723000</v>
      </c>
      <c r="W26" s="193">
        <f t="shared" si="10"/>
        <v>3153000</v>
      </c>
      <c r="X26" s="206">
        <f t="shared" si="11"/>
        <v>-2401000</v>
      </c>
      <c r="Y26" s="207">
        <f t="shared" si="12"/>
        <v>752000</v>
      </c>
    </row>
    <row r="27" spans="1:25" ht="15">
      <c r="A27" s="194" t="s">
        <v>18</v>
      </c>
      <c r="B27" s="192">
        <v>-1809000</v>
      </c>
      <c r="C27" s="192">
        <v>-5917000</v>
      </c>
      <c r="D27" s="192">
        <v>3251000</v>
      </c>
      <c r="E27" s="192">
        <v>1037000</v>
      </c>
      <c r="F27" s="206"/>
      <c r="G27" s="205">
        <v>173000</v>
      </c>
      <c r="H27" s="206"/>
      <c r="I27" s="206">
        <v>5045000</v>
      </c>
      <c r="J27" s="284">
        <f t="shared" si="0"/>
        <v>-1682000</v>
      </c>
      <c r="K27" s="193">
        <v>-75000</v>
      </c>
      <c r="L27" s="206">
        <v>36000</v>
      </c>
      <c r="M27" s="206">
        <f t="shared" si="13"/>
        <v>-12000</v>
      </c>
      <c r="N27" s="206">
        <v>225000</v>
      </c>
      <c r="O27" s="207">
        <f>-ROUND(N27/3,-3)</f>
        <v>-75000</v>
      </c>
      <c r="P27" s="206">
        <f t="shared" si="3"/>
        <v>-1884000</v>
      </c>
      <c r="Q27" s="206">
        <f t="shared" si="6"/>
        <v>-5917000</v>
      </c>
      <c r="R27" s="206">
        <f t="shared" si="4"/>
        <v>3251000</v>
      </c>
      <c r="S27" s="206">
        <f t="shared" si="5"/>
        <v>1073000</v>
      </c>
      <c r="T27" s="206">
        <f t="shared" si="7"/>
        <v>161000</v>
      </c>
      <c r="U27" s="206">
        <f t="shared" si="8"/>
        <v>5270000</v>
      </c>
      <c r="V27" s="207">
        <f t="shared" si="9"/>
        <v>-1757000</v>
      </c>
      <c r="W27" s="193">
        <f t="shared" si="10"/>
        <v>1793000</v>
      </c>
      <c r="X27" s="206">
        <f t="shared" si="11"/>
        <v>-1596000</v>
      </c>
      <c r="Y27" s="207">
        <f t="shared" si="12"/>
        <v>197000</v>
      </c>
    </row>
    <row r="28" spans="1:25" ht="15">
      <c r="A28" s="194" t="s">
        <v>19</v>
      </c>
      <c r="B28" s="192">
        <v>626000</v>
      </c>
      <c r="C28" s="192">
        <v>-1761000</v>
      </c>
      <c r="D28" s="192">
        <v>996000</v>
      </c>
      <c r="E28" s="192">
        <v>388000</v>
      </c>
      <c r="F28" s="206"/>
      <c r="G28" s="205">
        <v>2000</v>
      </c>
      <c r="H28" s="206"/>
      <c r="I28" s="206">
        <v>2417000</v>
      </c>
      <c r="J28" s="284">
        <f t="shared" si="0"/>
        <v>-806000</v>
      </c>
      <c r="K28" s="193">
        <v>-118000</v>
      </c>
      <c r="L28" s="206">
        <v>1000</v>
      </c>
      <c r="M28" s="206">
        <f t="shared" si="13"/>
        <v>0</v>
      </c>
      <c r="N28" s="206">
        <v>36000</v>
      </c>
      <c r="O28" s="207">
        <f>-ROUND(N28/3,-3)</f>
        <v>-12000</v>
      </c>
      <c r="P28" s="206">
        <f t="shared" si="3"/>
        <v>508000</v>
      </c>
      <c r="Q28" s="206">
        <f t="shared" si="6"/>
        <v>-1761000</v>
      </c>
      <c r="R28" s="206">
        <f t="shared" si="4"/>
        <v>996000</v>
      </c>
      <c r="S28" s="206">
        <f t="shared" si="5"/>
        <v>389000</v>
      </c>
      <c r="T28" s="206">
        <f t="shared" si="7"/>
        <v>2000</v>
      </c>
      <c r="U28" s="206">
        <f t="shared" si="8"/>
        <v>2453000</v>
      </c>
      <c r="V28" s="207">
        <f t="shared" si="9"/>
        <v>-818000</v>
      </c>
      <c r="W28" s="193">
        <f t="shared" si="10"/>
        <v>2585000</v>
      </c>
      <c r="X28" s="206">
        <f t="shared" si="11"/>
        <v>-816000</v>
      </c>
      <c r="Y28" s="207">
        <f t="shared" si="12"/>
        <v>1769000</v>
      </c>
    </row>
    <row r="29" spans="1:25" ht="15">
      <c r="A29" s="194" t="s">
        <v>20</v>
      </c>
      <c r="B29" s="192">
        <v>-379000</v>
      </c>
      <c r="C29" s="192">
        <v>-1649000</v>
      </c>
      <c r="D29" s="192">
        <v>947000</v>
      </c>
      <c r="E29" s="192">
        <v>148000</v>
      </c>
      <c r="F29" s="206"/>
      <c r="G29" s="205">
        <v>84000</v>
      </c>
      <c r="H29" s="206"/>
      <c r="I29" s="206">
        <v>2354000</v>
      </c>
      <c r="J29" s="284">
        <f t="shared" si="0"/>
        <v>-785000</v>
      </c>
      <c r="K29" s="193">
        <v>-166000</v>
      </c>
      <c r="L29" s="206">
        <v>1000</v>
      </c>
      <c r="M29" s="206">
        <f t="shared" si="13"/>
        <v>0</v>
      </c>
      <c r="N29" s="206">
        <v>33000</v>
      </c>
      <c r="O29" s="207">
        <f>-ROUND(N29/3,-3)</f>
        <v>-11000</v>
      </c>
      <c r="P29" s="206">
        <f t="shared" si="3"/>
        <v>-545000</v>
      </c>
      <c r="Q29" s="206">
        <f t="shared" si="6"/>
        <v>-1649000</v>
      </c>
      <c r="R29" s="206">
        <f t="shared" si="4"/>
        <v>947000</v>
      </c>
      <c r="S29" s="206">
        <f t="shared" si="5"/>
        <v>149000</v>
      </c>
      <c r="T29" s="206">
        <f t="shared" si="7"/>
        <v>84000</v>
      </c>
      <c r="U29" s="206">
        <f t="shared" si="8"/>
        <v>2387000</v>
      </c>
      <c r="V29" s="207">
        <f t="shared" si="9"/>
        <v>-796000</v>
      </c>
      <c r="W29" s="193">
        <f t="shared" si="10"/>
        <v>1289000</v>
      </c>
      <c r="X29" s="206">
        <f t="shared" si="11"/>
        <v>-712000</v>
      </c>
      <c r="Y29" s="207">
        <f t="shared" si="12"/>
        <v>577000</v>
      </c>
    </row>
    <row r="30" spans="1:25" ht="15">
      <c r="A30" s="194" t="s">
        <v>21</v>
      </c>
      <c r="B30" s="192">
        <f>-940000-107000</f>
        <v>-1047000</v>
      </c>
      <c r="C30" s="192">
        <v>-1479000</v>
      </c>
      <c r="D30" s="192">
        <v>839000</v>
      </c>
      <c r="E30" s="192">
        <v>653000</v>
      </c>
      <c r="F30" s="206"/>
      <c r="G30" s="205">
        <v>-92000</v>
      </c>
      <c r="H30" s="206"/>
      <c r="I30" s="206">
        <v>2566000</v>
      </c>
      <c r="J30" s="284">
        <f t="shared" si="0"/>
        <v>-855000</v>
      </c>
      <c r="K30" s="193">
        <v>245000</v>
      </c>
      <c r="L30" s="206">
        <v>3000</v>
      </c>
      <c r="M30" s="206">
        <f t="shared" si="13"/>
        <v>-1000</v>
      </c>
      <c r="N30" s="206">
        <v>45000</v>
      </c>
      <c r="O30" s="207">
        <f>-ROUND(N30/3,-3)</f>
        <v>-15000</v>
      </c>
      <c r="P30" s="206">
        <f t="shared" si="3"/>
        <v>-802000</v>
      </c>
      <c r="Q30" s="206">
        <f t="shared" si="6"/>
        <v>-1479000</v>
      </c>
      <c r="R30" s="206">
        <f t="shared" si="4"/>
        <v>839000</v>
      </c>
      <c r="S30" s="206">
        <f t="shared" si="5"/>
        <v>656000</v>
      </c>
      <c r="T30" s="206">
        <f t="shared" si="7"/>
        <v>-93000</v>
      </c>
      <c r="U30" s="206">
        <f t="shared" si="8"/>
        <v>2611000</v>
      </c>
      <c r="V30" s="207">
        <f t="shared" si="9"/>
        <v>-870000</v>
      </c>
      <c r="W30" s="193">
        <f t="shared" si="10"/>
        <v>1825000</v>
      </c>
      <c r="X30" s="206">
        <f t="shared" si="11"/>
        <v>-963000</v>
      </c>
      <c r="Y30" s="207">
        <f t="shared" si="12"/>
        <v>862000</v>
      </c>
    </row>
    <row r="31" spans="1:25" ht="6" customHeight="1">
      <c r="A31" s="194"/>
      <c r="B31" s="192"/>
      <c r="C31" s="192"/>
      <c r="D31" s="192"/>
      <c r="E31" s="192"/>
      <c r="F31" s="206"/>
      <c r="G31" s="206"/>
      <c r="H31" s="206"/>
      <c r="I31" s="206"/>
      <c r="J31" s="206"/>
      <c r="K31" s="193"/>
      <c r="L31" s="206"/>
      <c r="M31" s="206"/>
      <c r="N31" s="206"/>
      <c r="O31" s="207"/>
      <c r="P31" s="206"/>
      <c r="Q31" s="206"/>
      <c r="R31" s="206"/>
      <c r="S31" s="206"/>
      <c r="T31" s="206"/>
      <c r="U31" s="206"/>
      <c r="V31" s="207"/>
      <c r="W31" s="193"/>
      <c r="X31" s="206"/>
      <c r="Y31" s="286"/>
    </row>
    <row r="32" spans="1:25" ht="15">
      <c r="A32" s="199" t="s">
        <v>22</v>
      </c>
      <c r="B32" s="198">
        <f>SUM(B8:B30)</f>
        <v>-21380000</v>
      </c>
      <c r="C32" s="198">
        <f>SUM(C8:C30)</f>
        <v>-129353000</v>
      </c>
      <c r="D32" s="198">
        <f>SUM(D8:D30)</f>
        <v>74910000</v>
      </c>
      <c r="E32" s="198">
        <f>SUM(E8:E30)</f>
        <v>24665000</v>
      </c>
      <c r="F32" s="208"/>
      <c r="G32" s="208">
        <f>SUM(G8:G30)</f>
        <v>1081000</v>
      </c>
      <c r="H32" s="208"/>
      <c r="I32" s="208">
        <f aca="true" t="shared" si="14" ref="I32:Y32">SUM(I8:I30)</f>
        <v>108544000</v>
      </c>
      <c r="J32" s="208">
        <f t="shared" si="14"/>
        <v>-36181000</v>
      </c>
      <c r="K32" s="210">
        <f t="shared" si="14"/>
        <v>6550000</v>
      </c>
      <c r="L32" s="208">
        <f t="shared" si="14"/>
        <v>1527000</v>
      </c>
      <c r="M32" s="208">
        <f t="shared" si="14"/>
        <v>-510000</v>
      </c>
      <c r="N32" s="208">
        <f t="shared" si="14"/>
        <v>5512000</v>
      </c>
      <c r="O32" s="209">
        <f t="shared" si="14"/>
        <v>-1838000</v>
      </c>
      <c r="P32" s="208">
        <f t="shared" si="14"/>
        <v>-14830000</v>
      </c>
      <c r="Q32" s="208">
        <f t="shared" si="14"/>
        <v>-129353000</v>
      </c>
      <c r="R32" s="208">
        <f t="shared" si="14"/>
        <v>74910000</v>
      </c>
      <c r="S32" s="208">
        <f t="shared" si="14"/>
        <v>26192000</v>
      </c>
      <c r="T32" s="208">
        <f t="shared" si="14"/>
        <v>571000</v>
      </c>
      <c r="U32" s="208">
        <f t="shared" si="14"/>
        <v>114056000</v>
      </c>
      <c r="V32" s="209">
        <f t="shared" si="14"/>
        <v>-38019000</v>
      </c>
      <c r="W32" s="210">
        <f t="shared" si="14"/>
        <v>70975000</v>
      </c>
      <c r="X32" s="208">
        <f t="shared" si="14"/>
        <v>-37448000</v>
      </c>
      <c r="Y32" s="209">
        <f t="shared" si="14"/>
        <v>33527000</v>
      </c>
    </row>
    <row r="33" spans="1:25" ht="6" customHeight="1">
      <c r="A33" s="197"/>
      <c r="B33" s="196"/>
      <c r="C33" s="196"/>
      <c r="D33" s="196"/>
      <c r="E33" s="196"/>
      <c r="F33" s="205"/>
      <c r="G33" s="205"/>
      <c r="H33" s="205"/>
      <c r="I33" s="205"/>
      <c r="J33" s="205"/>
      <c r="K33" s="212"/>
      <c r="L33" s="205"/>
      <c r="M33" s="205"/>
      <c r="N33" s="205"/>
      <c r="O33" s="211"/>
      <c r="P33" s="205"/>
      <c r="Q33" s="205"/>
      <c r="R33" s="205"/>
      <c r="S33" s="205"/>
      <c r="T33" s="205"/>
      <c r="U33" s="205"/>
      <c r="V33" s="211"/>
      <c r="W33" s="212"/>
      <c r="X33" s="205"/>
      <c r="Y33" s="286"/>
    </row>
    <row r="34" spans="1:25" ht="15">
      <c r="A34" s="195" t="s">
        <v>23</v>
      </c>
      <c r="B34" s="192">
        <v>0</v>
      </c>
      <c r="C34" s="192">
        <v>0</v>
      </c>
      <c r="D34" s="192"/>
      <c r="E34" s="192">
        <v>0</v>
      </c>
      <c r="F34" s="206"/>
      <c r="G34" s="205">
        <v>0</v>
      </c>
      <c r="H34" s="206"/>
      <c r="I34" s="206">
        <v>0</v>
      </c>
      <c r="J34" s="284">
        <f>-ROUND((I34/3)/1000,0)*1000</f>
        <v>0</v>
      </c>
      <c r="K34" s="193">
        <v>0</v>
      </c>
      <c r="L34" s="206">
        <v>0</v>
      </c>
      <c r="M34" s="206">
        <f>-ROUND(((L34)/3)/1000,0)*1000</f>
        <v>0</v>
      </c>
      <c r="N34" s="206">
        <v>0</v>
      </c>
      <c r="O34" s="207">
        <f>-ROUND(N34/3,-3)</f>
        <v>0</v>
      </c>
      <c r="P34" s="206">
        <f>B34+K34</f>
        <v>0</v>
      </c>
      <c r="Q34" s="206">
        <v>0</v>
      </c>
      <c r="R34" s="206">
        <f>D34</f>
        <v>0</v>
      </c>
      <c r="S34" s="206">
        <v>0</v>
      </c>
      <c r="T34" s="206">
        <f>G34+M34</f>
        <v>0</v>
      </c>
      <c r="U34" s="206">
        <f aca="true" t="shared" si="15" ref="U34:V37">I34+N34</f>
        <v>0</v>
      </c>
      <c r="V34" s="207">
        <f t="shared" si="15"/>
        <v>0</v>
      </c>
      <c r="W34" s="193">
        <f>P34+Q34+R34+S34+U34</f>
        <v>0</v>
      </c>
      <c r="X34" s="206">
        <f>T34+V34</f>
        <v>0</v>
      </c>
      <c r="Y34" s="207">
        <f>SUM(P34:V34)</f>
        <v>0</v>
      </c>
    </row>
    <row r="35" spans="1:25" ht="15">
      <c r="A35" s="194" t="s">
        <v>32</v>
      </c>
      <c r="B35" s="192">
        <v>-12000</v>
      </c>
      <c r="C35" s="192">
        <v>0</v>
      </c>
      <c r="D35" s="192"/>
      <c r="E35" s="192">
        <v>299000</v>
      </c>
      <c r="F35" s="206"/>
      <c r="G35" s="205">
        <v>-100000</v>
      </c>
      <c r="H35" s="206"/>
      <c r="I35" s="206">
        <v>242000</v>
      </c>
      <c r="J35" s="284">
        <f>-ROUND((I35/3)/1000,0)*1000</f>
        <v>-81000</v>
      </c>
      <c r="K35" s="193">
        <v>-13000</v>
      </c>
      <c r="L35" s="206">
        <v>0</v>
      </c>
      <c r="M35" s="206">
        <f>-ROUND(((L35)/3)/1000,0)*1000</f>
        <v>0</v>
      </c>
      <c r="N35" s="206">
        <v>0</v>
      </c>
      <c r="O35" s="207">
        <f>-ROUND(N35/3,-3)</f>
        <v>0</v>
      </c>
      <c r="P35" s="206">
        <f>B35+K35</f>
        <v>-25000</v>
      </c>
      <c r="Q35" s="206">
        <f>C35</f>
        <v>0</v>
      </c>
      <c r="R35" s="206">
        <f>D35</f>
        <v>0</v>
      </c>
      <c r="S35" s="206">
        <f>E35+L35</f>
        <v>299000</v>
      </c>
      <c r="T35" s="206">
        <f>G35+M35</f>
        <v>-100000</v>
      </c>
      <c r="U35" s="206">
        <f t="shared" si="15"/>
        <v>242000</v>
      </c>
      <c r="V35" s="207">
        <f t="shared" si="15"/>
        <v>-81000</v>
      </c>
      <c r="W35" s="193">
        <f>P35+Q35+R35+S35+U35</f>
        <v>516000</v>
      </c>
      <c r="X35" s="206">
        <f>T35+V35</f>
        <v>-181000</v>
      </c>
      <c r="Y35" s="207">
        <f>SUM(P35:V35)</f>
        <v>335000</v>
      </c>
    </row>
    <row r="36" spans="1:25" ht="15">
      <c r="A36" s="194" t="s">
        <v>24</v>
      </c>
      <c r="B36" s="192">
        <v>24000</v>
      </c>
      <c r="C36" s="192">
        <v>0</v>
      </c>
      <c r="D36" s="192"/>
      <c r="E36" s="192">
        <v>7000</v>
      </c>
      <c r="F36" s="206"/>
      <c r="G36" s="205">
        <v>-2000</v>
      </c>
      <c r="H36" s="206"/>
      <c r="I36" s="206">
        <v>176000</v>
      </c>
      <c r="J36" s="284">
        <f>-ROUND((I36/3)/1000,0)*1000</f>
        <v>-59000</v>
      </c>
      <c r="K36" s="193">
        <v>39000</v>
      </c>
      <c r="L36" s="206">
        <v>0</v>
      </c>
      <c r="M36" s="206">
        <f>-ROUND(((L36)/3)/1000,0)*1000</f>
        <v>0</v>
      </c>
      <c r="N36" s="206">
        <v>4000</v>
      </c>
      <c r="O36" s="207">
        <f>-ROUND(N36/3,-3)</f>
        <v>-1000</v>
      </c>
      <c r="P36" s="206">
        <f>B36+K36</f>
        <v>63000</v>
      </c>
      <c r="Q36" s="206">
        <f>C36</f>
        <v>0</v>
      </c>
      <c r="R36" s="206">
        <f>D36</f>
        <v>0</v>
      </c>
      <c r="S36" s="206">
        <f>E36+L36</f>
        <v>7000</v>
      </c>
      <c r="T36" s="206">
        <f>G36+M36</f>
        <v>-2000</v>
      </c>
      <c r="U36" s="206">
        <f t="shared" si="15"/>
        <v>180000</v>
      </c>
      <c r="V36" s="207">
        <f t="shared" si="15"/>
        <v>-60000</v>
      </c>
      <c r="W36" s="193">
        <f>P36+Q36+R36+S36+U36</f>
        <v>250000</v>
      </c>
      <c r="X36" s="206">
        <f>T36+V36</f>
        <v>-62000</v>
      </c>
      <c r="Y36" s="207">
        <f>SUM(P36:V36)</f>
        <v>188000</v>
      </c>
    </row>
    <row r="37" spans="1:25" ht="15">
      <c r="A37" s="194" t="s">
        <v>25</v>
      </c>
      <c r="B37" s="192">
        <v>284000</v>
      </c>
      <c r="C37" s="192">
        <v>0</v>
      </c>
      <c r="D37" s="192"/>
      <c r="E37" s="192">
        <v>118000</v>
      </c>
      <c r="F37" s="206"/>
      <c r="G37" s="205">
        <v>-39000</v>
      </c>
      <c r="H37" s="206"/>
      <c r="I37" s="206">
        <v>0</v>
      </c>
      <c r="J37" s="284">
        <f>ROUND((I37/3)/1000,0)*1000</f>
        <v>0</v>
      </c>
      <c r="K37" s="193">
        <v>4000</v>
      </c>
      <c r="L37" s="206">
        <v>7000</v>
      </c>
      <c r="M37" s="206">
        <f>-ROUND(((L37)/3)/1000,0)*1000</f>
        <v>-2000</v>
      </c>
      <c r="N37" s="206">
        <v>0</v>
      </c>
      <c r="O37" s="207">
        <f>-ROUND(N37/3,-3)</f>
        <v>0</v>
      </c>
      <c r="P37" s="206">
        <f>B37+K37</f>
        <v>288000</v>
      </c>
      <c r="Q37" s="206">
        <f>C37</f>
        <v>0</v>
      </c>
      <c r="R37" s="206">
        <f>D37</f>
        <v>0</v>
      </c>
      <c r="S37" s="206">
        <f>E37+L37</f>
        <v>125000</v>
      </c>
      <c r="T37" s="206">
        <f>G37+M37</f>
        <v>-41000</v>
      </c>
      <c r="U37" s="206">
        <f t="shared" si="15"/>
        <v>0</v>
      </c>
      <c r="V37" s="207">
        <f t="shared" si="15"/>
        <v>0</v>
      </c>
      <c r="W37" s="193">
        <f>P37+Q37+R37+S37+U37</f>
        <v>413000</v>
      </c>
      <c r="X37" s="206">
        <f>T37+V37</f>
        <v>-41000</v>
      </c>
      <c r="Y37" s="207">
        <f>SUM(P37:V37)</f>
        <v>372000</v>
      </c>
    </row>
    <row r="38" spans="1:25" ht="16.5" customHeight="1">
      <c r="A38" s="285" t="s">
        <v>26</v>
      </c>
      <c r="B38" s="192"/>
      <c r="C38" s="192"/>
      <c r="D38" s="192"/>
      <c r="E38" s="192"/>
      <c r="F38" s="206"/>
      <c r="G38" s="206"/>
      <c r="H38" s="206"/>
      <c r="I38" s="206"/>
      <c r="J38" s="284"/>
      <c r="K38" s="193"/>
      <c r="L38" s="206"/>
      <c r="M38" s="206"/>
      <c r="N38" s="206"/>
      <c r="O38" s="207"/>
      <c r="P38" s="206"/>
      <c r="Q38" s="206"/>
      <c r="R38" s="206"/>
      <c r="S38" s="206"/>
      <c r="T38" s="206"/>
      <c r="U38" s="206"/>
      <c r="V38" s="207"/>
      <c r="W38" s="193"/>
      <c r="X38" s="206"/>
      <c r="Y38" s="207"/>
    </row>
    <row r="39" spans="1:25" ht="6" customHeight="1">
      <c r="A39" s="285"/>
      <c r="B39" s="192"/>
      <c r="C39" s="192"/>
      <c r="D39" s="192"/>
      <c r="E39" s="192"/>
      <c r="F39" s="206"/>
      <c r="G39" s="206"/>
      <c r="H39" s="206"/>
      <c r="I39" s="206"/>
      <c r="J39" s="284"/>
      <c r="K39" s="193"/>
      <c r="L39" s="206"/>
      <c r="M39" s="206"/>
      <c r="N39" s="206"/>
      <c r="O39" s="207"/>
      <c r="P39" s="206"/>
      <c r="Q39" s="206"/>
      <c r="R39" s="206"/>
      <c r="S39" s="206"/>
      <c r="T39" s="206"/>
      <c r="U39" s="206"/>
      <c r="V39" s="207"/>
      <c r="W39" s="517"/>
      <c r="X39" s="518"/>
      <c r="Y39" s="519"/>
    </row>
    <row r="40" spans="1:25" ht="15.75" thickBot="1">
      <c r="A40" s="191" t="s">
        <v>60</v>
      </c>
      <c r="B40" s="190">
        <f>SUM(B32:B38)</f>
        <v>-21084000</v>
      </c>
      <c r="C40" s="190">
        <f>SUM(C32:C38)</f>
        <v>-129353000</v>
      </c>
      <c r="D40" s="190">
        <f>SUM(D32:D38)</f>
        <v>74910000</v>
      </c>
      <c r="E40" s="190">
        <f>SUM(E32:E38)</f>
        <v>25089000</v>
      </c>
      <c r="F40" s="213"/>
      <c r="G40" s="213">
        <f>SUM(G32:G38)</f>
        <v>940000</v>
      </c>
      <c r="H40" s="213"/>
      <c r="I40" s="213">
        <f aca="true" t="shared" si="16" ref="I40:Y40">SUM(I32:I38)</f>
        <v>108962000</v>
      </c>
      <c r="J40" s="213">
        <f t="shared" si="16"/>
        <v>-36321000</v>
      </c>
      <c r="K40" s="508">
        <f t="shared" si="16"/>
        <v>6580000</v>
      </c>
      <c r="L40" s="213">
        <f t="shared" si="16"/>
        <v>1534000</v>
      </c>
      <c r="M40" s="213">
        <f t="shared" si="16"/>
        <v>-512000</v>
      </c>
      <c r="N40" s="213">
        <f t="shared" si="16"/>
        <v>5516000</v>
      </c>
      <c r="O40" s="214">
        <f t="shared" si="16"/>
        <v>-1839000</v>
      </c>
      <c r="P40" s="213">
        <f t="shared" si="16"/>
        <v>-14504000</v>
      </c>
      <c r="Q40" s="213">
        <f t="shared" si="16"/>
        <v>-129353000</v>
      </c>
      <c r="R40" s="213">
        <f t="shared" si="16"/>
        <v>74910000</v>
      </c>
      <c r="S40" s="213">
        <f t="shared" si="16"/>
        <v>26623000</v>
      </c>
      <c r="T40" s="213">
        <f t="shared" si="16"/>
        <v>428000</v>
      </c>
      <c r="U40" s="213">
        <f t="shared" si="16"/>
        <v>114478000</v>
      </c>
      <c r="V40" s="214">
        <f t="shared" si="16"/>
        <v>-38160000</v>
      </c>
      <c r="W40" s="215">
        <f t="shared" si="16"/>
        <v>72154000</v>
      </c>
      <c r="X40" s="216">
        <f t="shared" si="16"/>
        <v>-37732000</v>
      </c>
      <c r="Y40" s="283">
        <f t="shared" si="16"/>
        <v>34422000</v>
      </c>
    </row>
    <row r="41" ht="6" customHeight="1">
      <c r="T41" s="282"/>
    </row>
    <row r="42" spans="2:20" ht="16.5">
      <c r="B42" s="509" t="s">
        <v>185</v>
      </c>
      <c r="C42" s="510"/>
      <c r="D42" s="510"/>
      <c r="E42" s="510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T42" s="282"/>
    </row>
    <row r="43" spans="2:25" s="280" customFormat="1" ht="16.5" customHeight="1">
      <c r="B43" s="509" t="s">
        <v>186</v>
      </c>
      <c r="C43" s="512"/>
      <c r="D43" s="512"/>
      <c r="E43" s="512"/>
      <c r="F43" s="513"/>
      <c r="G43" s="513"/>
      <c r="H43" s="513"/>
      <c r="I43" s="514"/>
      <c r="J43" s="513"/>
      <c r="K43" s="514"/>
      <c r="L43" s="515"/>
      <c r="M43" s="513"/>
      <c r="N43" s="515"/>
      <c r="O43" s="513"/>
      <c r="P43" s="281"/>
      <c r="Q43" s="281"/>
      <c r="R43" s="281"/>
      <c r="S43" s="281"/>
      <c r="T43" s="281"/>
      <c r="U43" s="281"/>
      <c r="V43" s="281"/>
      <c r="W43" s="281"/>
      <c r="X43" s="281"/>
      <c r="Y43" s="281"/>
    </row>
    <row r="44" spans="2:25" s="280" customFormat="1" ht="28.5" customHeight="1">
      <c r="B44" s="565" t="s">
        <v>188</v>
      </c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281"/>
      <c r="Q44" s="281"/>
      <c r="R44" s="281"/>
      <c r="S44" s="281"/>
      <c r="T44" s="281"/>
      <c r="U44" s="281"/>
      <c r="V44" s="281"/>
      <c r="W44" s="281"/>
      <c r="X44" s="281"/>
      <c r="Y44" s="281"/>
    </row>
    <row r="45" spans="2:25" s="280" customFormat="1" ht="16.5">
      <c r="B45" s="509" t="s">
        <v>187</v>
      </c>
      <c r="C45" s="512"/>
      <c r="D45" s="512"/>
      <c r="E45" s="512"/>
      <c r="F45" s="513"/>
      <c r="G45" s="513"/>
      <c r="H45" s="513"/>
      <c r="I45" s="514"/>
      <c r="J45" s="513"/>
      <c r="K45" s="514"/>
      <c r="L45" s="515"/>
      <c r="M45" s="513"/>
      <c r="N45" s="515"/>
      <c r="O45" s="513"/>
      <c r="P45" s="281"/>
      <c r="Q45" s="281"/>
      <c r="R45" s="281"/>
      <c r="S45" s="281"/>
      <c r="T45" s="281"/>
      <c r="U45" s="281"/>
      <c r="V45" s="281"/>
      <c r="W45" s="281"/>
      <c r="X45" s="281"/>
      <c r="Y45" s="281"/>
    </row>
    <row r="46" spans="6:25" s="274" customFormat="1" ht="18.75" customHeight="1"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</row>
    <row r="47" spans="3:25" s="274" customFormat="1" ht="18.75" customHeight="1">
      <c r="C47" s="279"/>
      <c r="D47" s="279"/>
      <c r="E47" s="278"/>
      <c r="F47" s="276"/>
      <c r="G47" s="275"/>
      <c r="H47" s="275"/>
      <c r="I47" s="276"/>
      <c r="J47" s="277"/>
      <c r="K47" s="275"/>
      <c r="L47" s="276"/>
      <c r="M47" s="277"/>
      <c r="N47" s="276"/>
      <c r="O47" s="275"/>
      <c r="P47" s="275"/>
      <c r="Q47" s="275"/>
      <c r="R47" s="275"/>
      <c r="S47" s="276"/>
      <c r="T47" s="275"/>
      <c r="U47" s="276"/>
      <c r="V47" s="275"/>
      <c r="W47" s="276"/>
      <c r="X47" s="275"/>
      <c r="Y47" s="275"/>
    </row>
    <row r="48" spans="9:10" ht="15">
      <c r="I48" s="273"/>
      <c r="J48" s="273"/>
    </row>
  </sheetData>
  <sheetProtection/>
  <mergeCells count="6">
    <mergeCell ref="B44:O44"/>
    <mergeCell ref="W4:Y4"/>
    <mergeCell ref="F6:H6"/>
    <mergeCell ref="B4:J4"/>
    <mergeCell ref="K4:O4"/>
    <mergeCell ref="P4:V4"/>
  </mergeCells>
  <printOptions/>
  <pageMargins left="0.43" right="0.37" top="0.75" bottom="0.25" header="0.3" footer="0.3"/>
  <pageSetup horizontalDpi="600" verticalDpi="600" orientation="landscape" paperSize="5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9" sqref="Q9"/>
    </sheetView>
  </sheetViews>
  <sheetFormatPr defaultColWidth="9.33203125" defaultRowHeight="12.75"/>
  <cols>
    <col min="1" max="1" width="1.83203125" style="127" customWidth="1"/>
    <col min="2" max="2" width="23.83203125" style="126" customWidth="1"/>
    <col min="3" max="3" width="15.66015625" style="126" customWidth="1"/>
    <col min="4" max="4" width="9.83203125" style="126" bestFit="1" customWidth="1"/>
    <col min="5" max="5" width="16" style="126" customWidth="1"/>
    <col min="6" max="6" width="9.83203125" style="127" bestFit="1" customWidth="1"/>
    <col min="7" max="7" width="14.5" style="126" customWidth="1"/>
    <col min="8" max="8" width="11" style="126" bestFit="1" customWidth="1"/>
    <col min="9" max="9" width="15.33203125" style="126" customWidth="1"/>
    <col min="10" max="10" width="11" style="126" bestFit="1" customWidth="1"/>
    <col min="11" max="11" width="4.83203125" style="126" customWidth="1"/>
    <col min="12" max="12" width="15.5" style="126" bestFit="1" customWidth="1"/>
    <col min="13" max="13" width="4.83203125" style="126" customWidth="1"/>
    <col min="14" max="15" width="16.16015625" style="126" customWidth="1"/>
    <col min="16" max="16" width="2.83203125" style="126" customWidth="1"/>
    <col min="17" max="17" width="16.16015625" style="126" customWidth="1"/>
    <col min="18" max="16384" width="9.33203125" style="126" customWidth="1"/>
  </cols>
  <sheetData>
    <row r="1" ht="16.5">
      <c r="A1" s="125" t="s">
        <v>209</v>
      </c>
    </row>
    <row r="2" spans="2:15" ht="15.75" customHeight="1">
      <c r="B2" s="325"/>
      <c r="N2" s="202"/>
      <c r="O2" s="202"/>
    </row>
    <row r="3" spans="3:15" ht="14.25" customHeight="1">
      <c r="C3" s="128">
        <v>-1</v>
      </c>
      <c r="D3" s="128"/>
      <c r="E3" s="128"/>
      <c r="F3" s="128"/>
      <c r="G3" s="128"/>
      <c r="H3" s="128"/>
      <c r="I3" s="128">
        <v>-2</v>
      </c>
      <c r="L3" s="128">
        <v>-3</v>
      </c>
      <c r="N3" s="128">
        <v>-4</v>
      </c>
      <c r="O3" s="128">
        <v>-5</v>
      </c>
    </row>
    <row r="4" spans="1:16" ht="36.75" customHeight="1">
      <c r="A4" s="129"/>
      <c r="B4" s="130"/>
      <c r="C4" s="131"/>
      <c r="D4" s="131"/>
      <c r="E4" s="584" t="s">
        <v>220</v>
      </c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36"/>
    </row>
    <row r="5" spans="1:17" s="136" customFormat="1" ht="75.75" customHeight="1" thickBot="1">
      <c r="A5" s="132"/>
      <c r="B5" s="133" t="s">
        <v>37</v>
      </c>
      <c r="C5" s="134" t="s">
        <v>65</v>
      </c>
      <c r="D5" s="135"/>
      <c r="E5" s="578" t="s">
        <v>66</v>
      </c>
      <c r="F5" s="579"/>
      <c r="G5" s="532" t="s">
        <v>67</v>
      </c>
      <c r="H5" s="533"/>
      <c r="I5" s="580" t="s">
        <v>218</v>
      </c>
      <c r="J5" s="580"/>
      <c r="K5" s="581" t="s">
        <v>217</v>
      </c>
      <c r="L5" s="582"/>
      <c r="M5" s="583"/>
      <c r="N5" s="535" t="s">
        <v>213</v>
      </c>
      <c r="O5" s="534" t="s">
        <v>219</v>
      </c>
      <c r="P5" s="137"/>
      <c r="Q5" s="184"/>
    </row>
    <row r="6" spans="1:17" ht="15">
      <c r="A6" s="138"/>
      <c r="B6" s="139"/>
      <c r="C6" s="180" t="s">
        <v>68</v>
      </c>
      <c r="D6" s="140" t="s">
        <v>69</v>
      </c>
      <c r="E6" s="141" t="s">
        <v>68</v>
      </c>
      <c r="F6" s="142" t="s">
        <v>69</v>
      </c>
      <c r="G6" s="141" t="s">
        <v>68</v>
      </c>
      <c r="H6" s="140" t="s">
        <v>69</v>
      </c>
      <c r="I6" s="141" t="s">
        <v>68</v>
      </c>
      <c r="J6" s="140" t="s">
        <v>69</v>
      </c>
      <c r="K6" s="141"/>
      <c r="L6" s="143" t="s">
        <v>117</v>
      </c>
      <c r="M6" s="144"/>
      <c r="N6" s="528"/>
      <c r="O6" s="541" t="s">
        <v>214</v>
      </c>
      <c r="P6" s="139"/>
      <c r="Q6" s="139"/>
    </row>
    <row r="7" spans="1:17" ht="6" customHeight="1">
      <c r="A7" s="141"/>
      <c r="B7" s="139"/>
      <c r="C7" s="145"/>
      <c r="D7" s="139"/>
      <c r="E7" s="145"/>
      <c r="F7" s="142"/>
      <c r="G7" s="145"/>
      <c r="H7" s="140"/>
      <c r="I7" s="145"/>
      <c r="J7" s="140"/>
      <c r="K7" s="141"/>
      <c r="M7" s="144"/>
      <c r="N7" s="528"/>
      <c r="O7" s="528"/>
      <c r="P7" s="139"/>
      <c r="Q7" s="139"/>
    </row>
    <row r="8" spans="1:17" ht="15">
      <c r="A8" s="146"/>
      <c r="B8" s="139" t="s">
        <v>70</v>
      </c>
      <c r="C8" s="147">
        <v>10538900</v>
      </c>
      <c r="D8" s="148">
        <f aca="true" t="shared" si="0" ref="D8:D30">C8/$C$32</f>
        <v>0.02424297213975531</v>
      </c>
      <c r="E8" s="228">
        <f>ROUND(12472533/100,0)*100</f>
        <v>12472500</v>
      </c>
      <c r="F8" s="149">
        <f aca="true" t="shared" si="1" ref="F8:F30">E8/$E$32</f>
        <v>0.0234645819795773</v>
      </c>
      <c r="G8" s="123">
        <f>ROUND(11596169/100,0)*100</f>
        <v>11596200</v>
      </c>
      <c r="H8" s="150">
        <f aca="true" t="shared" si="2" ref="H8:H30">G8/$G$32</f>
        <v>0.024376733864093433</v>
      </c>
      <c r="I8" s="151">
        <f>ROUND((464678800)*J8/100,0)*100</f>
        <v>11327400</v>
      </c>
      <c r="J8" s="152">
        <f>H8</f>
        <v>0.024376733864093433</v>
      </c>
      <c r="K8" s="153"/>
      <c r="L8" s="154">
        <f>I8-C8</f>
        <v>788500</v>
      </c>
      <c r="M8" s="144"/>
      <c r="N8" s="537">
        <v>96400</v>
      </c>
      <c r="O8" s="529">
        <f>I8+N8</f>
        <v>11423800</v>
      </c>
      <c r="P8" s="139"/>
      <c r="Q8" s="156"/>
    </row>
    <row r="9" spans="1:17" ht="15">
      <c r="A9" s="146"/>
      <c r="B9" s="139" t="s">
        <v>1</v>
      </c>
      <c r="C9" s="147">
        <v>2821500</v>
      </c>
      <c r="D9" s="148">
        <f t="shared" si="0"/>
        <v>0.0064903876013928975</v>
      </c>
      <c r="E9" s="229">
        <f>ROUND(3196600/100,0)*100</f>
        <v>3196600</v>
      </c>
      <c r="F9" s="149">
        <f t="shared" si="1"/>
        <v>0.006013780938538128</v>
      </c>
      <c r="G9" s="124">
        <f>ROUND(3137724/100,0)*100</f>
        <v>3137700</v>
      </c>
      <c r="H9" s="150">
        <f t="shared" si="2"/>
        <v>0.006595857077781167</v>
      </c>
      <c r="I9" s="157">
        <f>ROUND((464678800)*J9/100,0)*100</f>
        <v>3065000</v>
      </c>
      <c r="J9" s="152">
        <f aca="true" t="shared" si="3" ref="J9:J30">H9</f>
        <v>0.006595857077781167</v>
      </c>
      <c r="K9" s="153"/>
      <c r="L9" s="158">
        <f aca="true" t="shared" si="4" ref="L9:L30">I9-C9</f>
        <v>243500</v>
      </c>
      <c r="M9" s="144"/>
      <c r="N9" s="538">
        <v>287100</v>
      </c>
      <c r="O9" s="530">
        <f>I9+N9</f>
        <v>3352100</v>
      </c>
      <c r="P9" s="155"/>
      <c r="Q9" s="155"/>
    </row>
    <row r="10" spans="1:17" ht="15">
      <c r="A10" s="146"/>
      <c r="B10" s="139" t="s">
        <v>71</v>
      </c>
      <c r="C10" s="147">
        <v>15071700</v>
      </c>
      <c r="D10" s="148">
        <f t="shared" si="0"/>
        <v>0.03466991841641444</v>
      </c>
      <c r="E10" s="229">
        <f>ROUND(18368114/100,0)*100</f>
        <v>18368100</v>
      </c>
      <c r="F10" s="149">
        <f t="shared" si="1"/>
        <v>0.03455600627452987</v>
      </c>
      <c r="G10" s="124">
        <f>ROUND(16414711/100,0)*100</f>
        <v>16414700</v>
      </c>
      <c r="H10" s="150">
        <f t="shared" si="2"/>
        <v>0.03450585306901696</v>
      </c>
      <c r="I10" s="157">
        <f aca="true" t="shared" si="5" ref="I10:I30">ROUND((464678800)*J10/100,0)*100</f>
        <v>16034100</v>
      </c>
      <c r="J10" s="152">
        <f t="shared" si="3"/>
        <v>0.03450585306901696</v>
      </c>
      <c r="K10" s="153"/>
      <c r="L10" s="158">
        <f t="shared" si="4"/>
        <v>962400</v>
      </c>
      <c r="M10" s="144"/>
      <c r="N10" s="538">
        <v>313900</v>
      </c>
      <c r="O10" s="530">
        <f aca="true" t="shared" si="6" ref="O10:O30">I10+N10</f>
        <v>16348000</v>
      </c>
      <c r="P10" s="155"/>
      <c r="Q10" s="155"/>
    </row>
    <row r="11" spans="1:17" ht="15">
      <c r="A11" s="146"/>
      <c r="B11" s="139" t="s">
        <v>72</v>
      </c>
      <c r="C11" s="159">
        <v>19640300</v>
      </c>
      <c r="D11" s="148">
        <f t="shared" si="0"/>
        <v>0.045179216589628535</v>
      </c>
      <c r="E11" s="230">
        <f>ROUND(22051019/100,0)*100</f>
        <v>22051000</v>
      </c>
      <c r="F11" s="149">
        <f t="shared" si="1"/>
        <v>0.04148466604382915</v>
      </c>
      <c r="G11" s="124">
        <f>ROUND(21267486/100,0)*100</f>
        <v>21267500</v>
      </c>
      <c r="H11" s="150">
        <f t="shared" si="2"/>
        <v>0.044707075374226656</v>
      </c>
      <c r="I11" s="157">
        <f t="shared" si="5"/>
        <v>20774400</v>
      </c>
      <c r="J11" s="152">
        <f t="shared" si="3"/>
        <v>0.044707075374226656</v>
      </c>
      <c r="K11" s="153"/>
      <c r="L11" s="158">
        <f t="shared" si="4"/>
        <v>1134100</v>
      </c>
      <c r="M11" s="144"/>
      <c r="N11" s="538">
        <v>130900</v>
      </c>
      <c r="O11" s="530">
        <f t="shared" si="6"/>
        <v>20905300</v>
      </c>
      <c r="P11" s="155"/>
      <c r="Q11" s="155"/>
    </row>
    <row r="12" spans="1:17" ht="15">
      <c r="A12" s="146"/>
      <c r="B12" s="139" t="s">
        <v>29</v>
      </c>
      <c r="C12" s="159">
        <v>13696300</v>
      </c>
      <c r="D12" s="148">
        <f t="shared" si="0"/>
        <v>0.031506041362735264</v>
      </c>
      <c r="E12" s="230">
        <f>ROUND(17180219/100,0)*100</f>
        <v>17180200</v>
      </c>
      <c r="F12" s="149">
        <f t="shared" si="1"/>
        <v>0.03232120355386121</v>
      </c>
      <c r="G12" s="124">
        <f>ROUND(15235821/100,0)*100</f>
        <v>15235800</v>
      </c>
      <c r="H12" s="150">
        <f t="shared" si="2"/>
        <v>0.0320276505930007</v>
      </c>
      <c r="I12" s="157">
        <f t="shared" si="5"/>
        <v>14882600</v>
      </c>
      <c r="J12" s="152">
        <f t="shared" si="3"/>
        <v>0.0320276505930007</v>
      </c>
      <c r="K12" s="153"/>
      <c r="L12" s="158">
        <f t="shared" si="4"/>
        <v>1186300</v>
      </c>
      <c r="M12" s="144"/>
      <c r="N12" s="538">
        <v>251100</v>
      </c>
      <c r="O12" s="530">
        <f t="shared" si="6"/>
        <v>15133700</v>
      </c>
      <c r="P12" s="155"/>
      <c r="Q12" s="155"/>
    </row>
    <row r="13" spans="1:17" ht="15">
      <c r="A13" s="146"/>
      <c r="B13" s="139" t="s">
        <v>73</v>
      </c>
      <c r="C13" s="159">
        <v>25305200</v>
      </c>
      <c r="D13" s="148">
        <f t="shared" si="0"/>
        <v>0.05821036906991584</v>
      </c>
      <c r="E13" s="230">
        <f>ROUND(30529295/100,0)*100</f>
        <v>30529300</v>
      </c>
      <c r="F13" s="149">
        <f t="shared" si="1"/>
        <v>0.057434937873650775</v>
      </c>
      <c r="G13" s="124">
        <f>ROUND(27631166/100,0)*100</f>
        <v>27631200</v>
      </c>
      <c r="H13" s="150">
        <f t="shared" si="2"/>
        <v>0.058084407715073776</v>
      </c>
      <c r="I13" s="157">
        <f t="shared" si="5"/>
        <v>26990600</v>
      </c>
      <c r="J13" s="152">
        <f t="shared" si="3"/>
        <v>0.058084407715073776</v>
      </c>
      <c r="K13" s="153"/>
      <c r="L13" s="158">
        <f t="shared" si="4"/>
        <v>1685400</v>
      </c>
      <c r="M13" s="144"/>
      <c r="N13" s="538">
        <v>388300</v>
      </c>
      <c r="O13" s="530">
        <f t="shared" si="6"/>
        <v>27378900</v>
      </c>
      <c r="P13" s="155"/>
      <c r="Q13" s="155"/>
    </row>
    <row r="14" spans="1:17" ht="15">
      <c r="A14" s="146"/>
      <c r="B14" s="139" t="s">
        <v>74</v>
      </c>
      <c r="C14" s="147">
        <v>31370900</v>
      </c>
      <c r="D14" s="148">
        <f t="shared" si="0"/>
        <v>0.07216349473844992</v>
      </c>
      <c r="E14" s="230">
        <f>ROUND(38663638/100,0)*100</f>
        <v>38663600</v>
      </c>
      <c r="F14" s="149">
        <f t="shared" si="1"/>
        <v>0.07273804063544477</v>
      </c>
      <c r="G14" s="124">
        <f>ROUND(34356214/100,0)*100</f>
        <v>34356200</v>
      </c>
      <c r="H14" s="150">
        <f t="shared" si="2"/>
        <v>0.07222124005980984</v>
      </c>
      <c r="I14" s="157">
        <f t="shared" si="5"/>
        <v>33559700</v>
      </c>
      <c r="J14" s="152">
        <f t="shared" si="3"/>
        <v>0.07222124005980984</v>
      </c>
      <c r="K14" s="153"/>
      <c r="L14" s="158">
        <f t="shared" si="4"/>
        <v>2188800</v>
      </c>
      <c r="M14" s="144"/>
      <c r="N14" s="538">
        <v>658400</v>
      </c>
      <c r="O14" s="530">
        <f t="shared" si="6"/>
        <v>34218100</v>
      </c>
      <c r="P14" s="155"/>
      <c r="Q14" s="155"/>
    </row>
    <row r="15" spans="1:17" ht="15">
      <c r="A15" s="146"/>
      <c r="B15" s="139" t="s">
        <v>75</v>
      </c>
      <c r="C15" s="147">
        <v>10948400</v>
      </c>
      <c r="D15" s="148">
        <f t="shared" si="0"/>
        <v>0.025184958219064326</v>
      </c>
      <c r="E15" s="230">
        <f>ROUND(13167629/100,0)*100</f>
        <v>13167600</v>
      </c>
      <c r="F15" s="149">
        <f t="shared" si="1"/>
        <v>0.024772277384187778</v>
      </c>
      <c r="G15" s="124">
        <f>ROUND(12048012/100,0)*100</f>
        <v>12048000</v>
      </c>
      <c r="H15" s="150">
        <f t="shared" si="2"/>
        <v>0.025326476741915255</v>
      </c>
      <c r="I15" s="157">
        <f t="shared" si="5"/>
        <v>11768700</v>
      </c>
      <c r="J15" s="152">
        <f t="shared" si="3"/>
        <v>0.025326476741915255</v>
      </c>
      <c r="K15" s="153"/>
      <c r="L15" s="158">
        <f t="shared" si="4"/>
        <v>820300</v>
      </c>
      <c r="M15" s="144"/>
      <c r="N15" s="538">
        <v>98300</v>
      </c>
      <c r="O15" s="530">
        <f t="shared" si="6"/>
        <v>11867000</v>
      </c>
      <c r="P15" s="155"/>
      <c r="Q15" s="155"/>
    </row>
    <row r="16" spans="1:17" ht="15">
      <c r="A16" s="146"/>
      <c r="B16" s="139" t="s">
        <v>76</v>
      </c>
      <c r="C16" s="147">
        <v>36667800</v>
      </c>
      <c r="D16" s="148">
        <f t="shared" si="0"/>
        <v>0.0843481249301274</v>
      </c>
      <c r="E16" s="230">
        <f>ROUND(46104352/100,0)*100</f>
        <v>46104400</v>
      </c>
      <c r="F16" s="149">
        <f t="shared" si="1"/>
        <v>0.08673645808131679</v>
      </c>
      <c r="G16" s="124">
        <f>ROUND(39794270/100,0)*100</f>
        <v>39794300</v>
      </c>
      <c r="H16" s="150">
        <f t="shared" si="2"/>
        <v>0.0836528397585324</v>
      </c>
      <c r="I16" s="157">
        <f>ROUND((464678800)*J16/100,0)*100-100</f>
        <v>38871600</v>
      </c>
      <c r="J16" s="152">
        <f t="shared" si="3"/>
        <v>0.0836528397585324</v>
      </c>
      <c r="K16" s="153"/>
      <c r="L16" s="158">
        <f t="shared" si="4"/>
        <v>2203800</v>
      </c>
      <c r="M16" s="144"/>
      <c r="N16" s="538">
        <v>680300</v>
      </c>
      <c r="O16" s="530">
        <f t="shared" si="6"/>
        <v>39551900</v>
      </c>
      <c r="P16" s="155"/>
      <c r="Q16" s="155"/>
    </row>
    <row r="17" spans="1:17" ht="15">
      <c r="A17" s="146"/>
      <c r="B17" s="139" t="s">
        <v>77</v>
      </c>
      <c r="C17" s="159">
        <v>30281200</v>
      </c>
      <c r="D17" s="148">
        <f t="shared" si="0"/>
        <v>0.06965682262459635</v>
      </c>
      <c r="E17" s="230">
        <f>ROUND(36568505/100,0)*100</f>
        <v>36568500</v>
      </c>
      <c r="F17" s="149">
        <f t="shared" si="1"/>
        <v>0.06879651762839627</v>
      </c>
      <c r="G17" s="124">
        <f>ROUND(33265881/100,0)*100</f>
        <v>33265900</v>
      </c>
      <c r="H17" s="150">
        <f t="shared" si="2"/>
        <v>0.06992928640843947</v>
      </c>
      <c r="I17" s="157">
        <f t="shared" si="5"/>
        <v>32494700</v>
      </c>
      <c r="J17" s="152">
        <f t="shared" si="3"/>
        <v>0.06992928640843947</v>
      </c>
      <c r="K17" s="153"/>
      <c r="L17" s="158">
        <f t="shared" si="4"/>
        <v>2213500</v>
      </c>
      <c r="M17" s="144"/>
      <c r="N17" s="538">
        <v>363100</v>
      </c>
      <c r="O17" s="530">
        <f t="shared" si="6"/>
        <v>32857800</v>
      </c>
      <c r="P17" s="155"/>
      <c r="Q17" s="155"/>
    </row>
    <row r="18" spans="1:17" ht="15">
      <c r="A18" s="146"/>
      <c r="B18" s="139" t="s">
        <v>9</v>
      </c>
      <c r="C18" s="159">
        <v>587800</v>
      </c>
      <c r="D18" s="148">
        <f t="shared" si="0"/>
        <v>0.0013521353294696952</v>
      </c>
      <c r="E18" s="230">
        <f>ROUND(833276/100,0)*100</f>
        <v>833300</v>
      </c>
      <c r="F18" s="149">
        <f t="shared" si="1"/>
        <v>0.0015676918150797166</v>
      </c>
      <c r="G18" s="124">
        <f>ROUND(844091/100,0)*100</f>
        <v>844100</v>
      </c>
      <c r="H18" s="150">
        <f t="shared" si="2"/>
        <v>0.0017744089490247898</v>
      </c>
      <c r="I18" s="157">
        <f t="shared" si="5"/>
        <v>824500</v>
      </c>
      <c r="J18" s="152">
        <f t="shared" si="3"/>
        <v>0.0017744089490247898</v>
      </c>
      <c r="K18" s="153"/>
      <c r="L18" s="158">
        <f t="shared" si="4"/>
        <v>236700</v>
      </c>
      <c r="M18" s="144"/>
      <c r="N18" s="538">
        <v>38900</v>
      </c>
      <c r="O18" s="530">
        <f t="shared" si="6"/>
        <v>863400</v>
      </c>
      <c r="P18" s="155"/>
      <c r="Q18" s="155"/>
    </row>
    <row r="19" spans="1:17" ht="15">
      <c r="A19" s="146"/>
      <c r="B19" s="139" t="s">
        <v>10</v>
      </c>
      <c r="C19" s="159">
        <v>4648800</v>
      </c>
      <c r="D19" s="148">
        <f t="shared" si="0"/>
        <v>0.010693784824155698</v>
      </c>
      <c r="E19" s="230">
        <f>ROUND(5322010/100,0)*100</f>
        <v>5322000</v>
      </c>
      <c r="F19" s="149">
        <f t="shared" si="1"/>
        <v>0.010012307500125106</v>
      </c>
      <c r="G19" s="124">
        <f>ROUND(5132277/100,0)*100</f>
        <v>5132300</v>
      </c>
      <c r="H19" s="150">
        <f t="shared" si="2"/>
        <v>0.010788767976637754</v>
      </c>
      <c r="I19" s="157">
        <f t="shared" si="5"/>
        <v>5013300</v>
      </c>
      <c r="J19" s="152">
        <f t="shared" si="3"/>
        <v>0.010788767976637754</v>
      </c>
      <c r="K19" s="153"/>
      <c r="L19" s="158">
        <f t="shared" si="4"/>
        <v>364500</v>
      </c>
      <c r="M19" s="144"/>
      <c r="N19" s="538">
        <v>126500</v>
      </c>
      <c r="O19" s="530">
        <f t="shared" si="6"/>
        <v>5139800</v>
      </c>
      <c r="P19" s="155"/>
      <c r="Q19" s="155"/>
    </row>
    <row r="20" spans="1:17" ht="15">
      <c r="A20" s="146"/>
      <c r="B20" s="139" t="s">
        <v>78</v>
      </c>
      <c r="C20" s="159">
        <v>37202800</v>
      </c>
      <c r="D20" s="148">
        <f t="shared" si="0"/>
        <v>0.08557880271384004</v>
      </c>
      <c r="E20" s="230">
        <f>ROUND(46818410/100,0)*100</f>
        <v>46818400</v>
      </c>
      <c r="F20" s="149">
        <f t="shared" si="1"/>
        <v>0.08807971015856018</v>
      </c>
      <c r="G20" s="124">
        <f>ROUND(40773744/100,0)*100</f>
        <v>40773700</v>
      </c>
      <c r="H20" s="150">
        <f t="shared" si="2"/>
        <v>0.08571166705941485</v>
      </c>
      <c r="I20" s="157">
        <f t="shared" si="5"/>
        <v>39828400</v>
      </c>
      <c r="J20" s="152">
        <f t="shared" si="3"/>
        <v>0.08571166705941485</v>
      </c>
      <c r="K20" s="153"/>
      <c r="L20" s="158">
        <f t="shared" si="4"/>
        <v>2625600</v>
      </c>
      <c r="M20" s="144"/>
      <c r="N20" s="538">
        <v>622900</v>
      </c>
      <c r="O20" s="530">
        <f t="shared" si="6"/>
        <v>40451300</v>
      </c>
      <c r="P20" s="155"/>
      <c r="Q20" s="155"/>
    </row>
    <row r="21" spans="1:17" ht="15">
      <c r="A21" s="146"/>
      <c r="B21" s="139" t="s">
        <v>79</v>
      </c>
      <c r="C21" s="159">
        <v>21422100</v>
      </c>
      <c r="D21" s="148">
        <f t="shared" si="0"/>
        <v>0.04927794869246811</v>
      </c>
      <c r="E21" s="230">
        <f>ROUND(25470762/100,0)*100</f>
        <v>25470800</v>
      </c>
      <c r="F21" s="149">
        <f t="shared" si="1"/>
        <v>0.04791835435441311</v>
      </c>
      <c r="G21" s="124">
        <f>ROUND(23292168/100,0)*100</f>
        <v>23292200</v>
      </c>
      <c r="H21" s="150">
        <f t="shared" si="2"/>
        <v>0.048963260422313956</v>
      </c>
      <c r="I21" s="157">
        <f t="shared" si="5"/>
        <v>22752200</v>
      </c>
      <c r="J21" s="152">
        <f t="shared" si="3"/>
        <v>0.048963260422313956</v>
      </c>
      <c r="K21" s="153"/>
      <c r="L21" s="158">
        <f t="shared" si="4"/>
        <v>1330100</v>
      </c>
      <c r="M21" s="144"/>
      <c r="N21" s="538">
        <v>380500</v>
      </c>
      <c r="O21" s="530">
        <f t="shared" si="6"/>
        <v>23132700</v>
      </c>
      <c r="P21" s="155"/>
      <c r="Q21" s="155"/>
    </row>
    <row r="22" spans="1:17" ht="15">
      <c r="A22" s="146"/>
      <c r="B22" s="139" t="s">
        <v>80</v>
      </c>
      <c r="C22" s="159">
        <v>28791000</v>
      </c>
      <c r="D22" s="148">
        <f t="shared" si="0"/>
        <v>0.06622886742218781</v>
      </c>
      <c r="E22" s="230">
        <f>ROUND(36142648/100,0)*100</f>
        <v>36142600</v>
      </c>
      <c r="F22" s="149">
        <f t="shared" si="1"/>
        <v>0.06799526964562602</v>
      </c>
      <c r="G22" s="124">
        <f>ROUND(31304178/100,0)*100</f>
        <v>31304200</v>
      </c>
      <c r="H22" s="150">
        <f t="shared" si="2"/>
        <v>0.0658055356261839</v>
      </c>
      <c r="I22" s="157">
        <f t="shared" si="5"/>
        <v>30578400</v>
      </c>
      <c r="J22" s="152">
        <f t="shared" si="3"/>
        <v>0.0658055356261839</v>
      </c>
      <c r="K22" s="153"/>
      <c r="L22" s="158">
        <f t="shared" si="4"/>
        <v>1787400</v>
      </c>
      <c r="M22" s="144"/>
      <c r="N22" s="538">
        <v>556200</v>
      </c>
      <c r="O22" s="530">
        <f t="shared" si="6"/>
        <v>31134600</v>
      </c>
      <c r="P22" s="155"/>
      <c r="Q22" s="155"/>
    </row>
    <row r="23" spans="1:17" ht="15">
      <c r="A23" s="146"/>
      <c r="B23" s="139" t="s">
        <v>81</v>
      </c>
      <c r="C23" s="159">
        <v>24755400</v>
      </c>
      <c r="D23" s="148">
        <f t="shared" si="0"/>
        <v>0.05694564636807433</v>
      </c>
      <c r="E23" s="230">
        <f>ROUND(30279752/100,0)*100</f>
        <v>30279800</v>
      </c>
      <c r="F23" s="149">
        <f t="shared" si="1"/>
        <v>0.056965552168787716</v>
      </c>
      <c r="G23" s="124">
        <f>ROUND(27266319/100,0)*100</f>
        <v>27266300</v>
      </c>
      <c r="H23" s="150">
        <f t="shared" si="2"/>
        <v>0.05731734003885159</v>
      </c>
      <c r="I23" s="157">
        <f>ROUND((464678800)*J23/100,0)*100-100</f>
        <v>26634100</v>
      </c>
      <c r="J23" s="152">
        <f t="shared" si="3"/>
        <v>0.05731734003885159</v>
      </c>
      <c r="K23" s="153"/>
      <c r="L23" s="158">
        <f t="shared" si="4"/>
        <v>1878700</v>
      </c>
      <c r="M23" s="144"/>
      <c r="N23" s="538">
        <v>307600</v>
      </c>
      <c r="O23" s="530">
        <f t="shared" si="6"/>
        <v>26941700</v>
      </c>
      <c r="P23" s="155"/>
      <c r="Q23" s="155"/>
    </row>
    <row r="24" spans="1:17" ht="15">
      <c r="A24" s="146"/>
      <c r="B24" s="139" t="s">
        <v>82</v>
      </c>
      <c r="C24" s="159">
        <v>29407800</v>
      </c>
      <c r="D24" s="148">
        <f t="shared" si="0"/>
        <v>0.06764771238853165</v>
      </c>
      <c r="E24" s="230">
        <f>ROUND(36136362/100,0)*100</f>
        <v>36136400</v>
      </c>
      <c r="F24" s="149">
        <f>E24/$E$32</f>
        <v>0.06798360555195808</v>
      </c>
      <c r="G24" s="124">
        <f>ROUND(31835395/100,0)*100</f>
        <v>31835400</v>
      </c>
      <c r="H24" s="150">
        <f t="shared" si="2"/>
        <v>0.06692218772157776</v>
      </c>
      <c r="I24" s="157">
        <f t="shared" si="5"/>
        <v>31097300</v>
      </c>
      <c r="J24" s="152">
        <f t="shared" si="3"/>
        <v>0.06692218772157776</v>
      </c>
      <c r="K24" s="153"/>
      <c r="L24" s="158">
        <f t="shared" si="4"/>
        <v>1689500</v>
      </c>
      <c r="M24" s="144"/>
      <c r="N24" s="538">
        <v>685200</v>
      </c>
      <c r="O24" s="530">
        <f t="shared" si="6"/>
        <v>31782500</v>
      </c>
      <c r="P24" s="155"/>
      <c r="Q24" s="155"/>
    </row>
    <row r="25" spans="1:17" ht="15">
      <c r="A25" s="146"/>
      <c r="B25" s="139" t="s">
        <v>83</v>
      </c>
      <c r="C25" s="159">
        <v>31538600</v>
      </c>
      <c r="D25" s="148">
        <f t="shared" si="0"/>
        <v>0.07254926046616694</v>
      </c>
      <c r="E25" s="230">
        <f>ROUND(38739590/100,0)*100</f>
        <v>38739600</v>
      </c>
      <c r="F25" s="149">
        <f>E25/$E$32</f>
        <v>0.07288101984814856</v>
      </c>
      <c r="G25" s="124">
        <f>ROUND(34395961/100,0)*100</f>
        <v>34396000</v>
      </c>
      <c r="H25" s="150">
        <f>G25/$G$32</f>
        <v>0.07230490488171623</v>
      </c>
      <c r="I25" s="157">
        <f>ROUND((464678800)*J25/100,0)*100-100</f>
        <v>33598500</v>
      </c>
      <c r="J25" s="152">
        <f t="shared" si="3"/>
        <v>0.07230490488171623</v>
      </c>
      <c r="K25" s="153"/>
      <c r="L25" s="158">
        <f t="shared" si="4"/>
        <v>2059900</v>
      </c>
      <c r="M25" s="144"/>
      <c r="N25" s="538">
        <v>566900</v>
      </c>
      <c r="O25" s="530">
        <f t="shared" si="6"/>
        <v>34165400</v>
      </c>
      <c r="P25" s="155"/>
      <c r="Q25" s="155"/>
    </row>
    <row r="26" spans="1:17" ht="15">
      <c r="A26" s="146"/>
      <c r="B26" s="139" t="s">
        <v>84</v>
      </c>
      <c r="C26" s="159">
        <v>24172800</v>
      </c>
      <c r="D26" s="148">
        <f t="shared" si="0"/>
        <v>0.05560547276659586</v>
      </c>
      <c r="E26" s="230">
        <f>ROUND(30676486/100,0)*100</f>
        <v>30676500</v>
      </c>
      <c r="F26" s="149">
        <f t="shared" si="1"/>
        <v>0.05771186603299283</v>
      </c>
      <c r="G26" s="124">
        <f>ROUND(26748451/100,0)*100</f>
        <v>26748500</v>
      </c>
      <c r="H26" s="150">
        <f t="shared" si="2"/>
        <v>0.056228856501587</v>
      </c>
      <c r="I26" s="157">
        <f t="shared" si="5"/>
        <v>26128400</v>
      </c>
      <c r="J26" s="152">
        <f t="shared" si="3"/>
        <v>0.056228856501587</v>
      </c>
      <c r="K26" s="153"/>
      <c r="L26" s="158">
        <f t="shared" si="4"/>
        <v>1955600</v>
      </c>
      <c r="M26" s="144"/>
      <c r="N26" s="538">
        <v>544100</v>
      </c>
      <c r="O26" s="530">
        <f t="shared" si="6"/>
        <v>26672500</v>
      </c>
      <c r="P26" s="155"/>
      <c r="Q26" s="155"/>
    </row>
    <row r="27" spans="1:17" ht="15">
      <c r="A27" s="146"/>
      <c r="B27" s="139" t="s">
        <v>85</v>
      </c>
      <c r="C27" s="159">
        <v>10366800</v>
      </c>
      <c r="D27" s="148">
        <f t="shared" si="0"/>
        <v>0.02384708494989186</v>
      </c>
      <c r="E27" s="230">
        <f>ROUND(12571638/100,0)*100</f>
        <v>12571600</v>
      </c>
      <c r="F27" s="149">
        <f t="shared" si="1"/>
        <v>0.023651019347721305</v>
      </c>
      <c r="G27" s="124">
        <f>ROUND(11323680/100,0)*100</f>
        <v>11323700</v>
      </c>
      <c r="H27" s="150">
        <f t="shared" si="2"/>
        <v>0.023803903111091117</v>
      </c>
      <c r="I27" s="157">
        <f t="shared" si="5"/>
        <v>11061200</v>
      </c>
      <c r="J27" s="152">
        <f t="shared" si="3"/>
        <v>0.023803903111091117</v>
      </c>
      <c r="K27" s="153"/>
      <c r="L27" s="158">
        <f t="shared" si="4"/>
        <v>694400</v>
      </c>
      <c r="M27" s="144"/>
      <c r="N27" s="538">
        <v>370300</v>
      </c>
      <c r="O27" s="530">
        <f t="shared" si="6"/>
        <v>11431500</v>
      </c>
      <c r="P27" s="155"/>
      <c r="Q27" s="155"/>
    </row>
    <row r="28" spans="1:17" ht="15">
      <c r="A28" s="146"/>
      <c r="B28" s="139" t="s">
        <v>86</v>
      </c>
      <c r="C28" s="159">
        <v>8781500</v>
      </c>
      <c r="D28" s="148">
        <f t="shared" si="0"/>
        <v>0.02020036814518225</v>
      </c>
      <c r="E28" s="230">
        <f>ROUND(10417943/100,0)*100</f>
        <v>10417900</v>
      </c>
      <c r="F28" s="149">
        <f t="shared" si="1"/>
        <v>0.019599251842456474</v>
      </c>
      <c r="G28" s="124">
        <f>ROUND(9692636/100,0)*100</f>
        <v>9692600</v>
      </c>
      <c r="H28" s="150">
        <f t="shared" si="2"/>
        <v>0.020375116904771565</v>
      </c>
      <c r="I28" s="157">
        <f t="shared" si="5"/>
        <v>9467900</v>
      </c>
      <c r="J28" s="152">
        <f t="shared" si="3"/>
        <v>0.020375116904771565</v>
      </c>
      <c r="K28" s="153"/>
      <c r="L28" s="158">
        <f t="shared" si="4"/>
        <v>686400</v>
      </c>
      <c r="M28" s="144"/>
      <c r="N28" s="538">
        <v>101700</v>
      </c>
      <c r="O28" s="530">
        <f t="shared" si="6"/>
        <v>9569600</v>
      </c>
      <c r="P28" s="155"/>
      <c r="Q28" s="155"/>
    </row>
    <row r="29" spans="1:17" ht="15">
      <c r="A29" s="146"/>
      <c r="B29" s="139" t="s">
        <v>87</v>
      </c>
      <c r="C29" s="159">
        <v>6002500</v>
      </c>
      <c r="D29" s="148">
        <f t="shared" si="0"/>
        <v>0.013807744666794564</v>
      </c>
      <c r="E29" s="230">
        <f>ROUND(7053829/100,0)*100</f>
        <v>7053800</v>
      </c>
      <c r="F29" s="149">
        <f t="shared" si="1"/>
        <v>0.013270352244340939</v>
      </c>
      <c r="G29" s="124">
        <f>ROUND(6596516/100,0)*100</f>
        <v>6596500</v>
      </c>
      <c r="H29" s="150">
        <f t="shared" si="2"/>
        <v>0.013866708485063411</v>
      </c>
      <c r="I29" s="157">
        <f t="shared" si="5"/>
        <v>6443600</v>
      </c>
      <c r="J29" s="152">
        <f t="shared" si="3"/>
        <v>0.013866708485063411</v>
      </c>
      <c r="K29" s="153"/>
      <c r="L29" s="158">
        <f t="shared" si="4"/>
        <v>441100</v>
      </c>
      <c r="M29" s="144"/>
      <c r="N29" s="538">
        <v>105100</v>
      </c>
      <c r="O29" s="530">
        <f t="shared" si="6"/>
        <v>6548700</v>
      </c>
      <c r="P29" s="155"/>
      <c r="Q29" s="155"/>
    </row>
    <row r="30" spans="1:17" ht="15">
      <c r="A30" s="146"/>
      <c r="B30" s="139" t="s">
        <v>88</v>
      </c>
      <c r="C30" s="159">
        <v>10699700</v>
      </c>
      <c r="D30" s="148">
        <f t="shared" si="0"/>
        <v>0.0246128655745609</v>
      </c>
      <c r="E30" s="230">
        <f>ROUND(12781267/100,0)*100</f>
        <v>12781300</v>
      </c>
      <c r="F30" s="149">
        <f t="shared" si="1"/>
        <v>0.024045529096457914</v>
      </c>
      <c r="G30" s="124">
        <f>ROUND(11754735/100,0)*100</f>
        <v>11754700</v>
      </c>
      <c r="H30" s="150">
        <f t="shared" si="2"/>
        <v>0.024709921659876434</v>
      </c>
      <c r="I30" s="157">
        <f t="shared" si="5"/>
        <v>11482200</v>
      </c>
      <c r="J30" s="152">
        <f t="shared" si="3"/>
        <v>0.024709921659876434</v>
      </c>
      <c r="K30" s="153"/>
      <c r="L30" s="158">
        <f t="shared" si="4"/>
        <v>782500</v>
      </c>
      <c r="M30" s="144"/>
      <c r="N30" s="538">
        <v>99300</v>
      </c>
      <c r="O30" s="530">
        <f t="shared" si="6"/>
        <v>11581500</v>
      </c>
      <c r="P30" s="155"/>
      <c r="Q30" s="155"/>
    </row>
    <row r="31" spans="1:17" ht="15">
      <c r="A31" s="146"/>
      <c r="B31" s="139"/>
      <c r="C31" s="163"/>
      <c r="D31" s="161"/>
      <c r="E31" s="145"/>
      <c r="F31" s="162"/>
      <c r="G31" s="145"/>
      <c r="H31" s="160"/>
      <c r="I31" s="163"/>
      <c r="J31" s="164"/>
      <c r="K31" s="165"/>
      <c r="L31" s="158"/>
      <c r="M31" s="144"/>
      <c r="N31" s="539"/>
      <c r="O31" s="530"/>
      <c r="P31" s="155"/>
      <c r="Q31" s="155"/>
    </row>
    <row r="32" spans="1:17" ht="15">
      <c r="A32" s="166"/>
      <c r="B32" s="167" t="s">
        <v>22</v>
      </c>
      <c r="C32" s="169">
        <f aca="true" t="shared" si="7" ref="C32:J32">SUM(C8:C30)</f>
        <v>434719800</v>
      </c>
      <c r="D32" s="168">
        <f t="shared" si="7"/>
        <v>0.9999999999999999</v>
      </c>
      <c r="E32" s="169">
        <f t="shared" si="7"/>
        <v>531545800</v>
      </c>
      <c r="F32" s="170">
        <f t="shared" si="7"/>
        <v>1</v>
      </c>
      <c r="G32" s="169">
        <f t="shared" si="7"/>
        <v>475707700</v>
      </c>
      <c r="H32" s="168">
        <f t="shared" si="7"/>
        <v>1.0000000000000002</v>
      </c>
      <c r="I32" s="169">
        <f>SUM(I8:I31)</f>
        <v>464678800</v>
      </c>
      <c r="J32" s="168">
        <f t="shared" si="7"/>
        <v>1.0000000000000002</v>
      </c>
      <c r="K32" s="171"/>
      <c r="L32" s="172">
        <f>SUM(L8:L31)</f>
        <v>29959000</v>
      </c>
      <c r="M32" s="173"/>
      <c r="N32" s="540">
        <f>SUM(N8:N31)</f>
        <v>7773000</v>
      </c>
      <c r="O32" s="531">
        <f>SUM(O8:O31)</f>
        <v>472451800</v>
      </c>
      <c r="P32" s="175"/>
      <c r="Q32" s="174"/>
    </row>
    <row r="33" spans="3:13" ht="12.75">
      <c r="C33" s="176"/>
      <c r="D33" s="176"/>
      <c r="E33" s="176"/>
      <c r="F33" s="177"/>
      <c r="G33" s="176"/>
      <c r="H33" s="176"/>
      <c r="I33" s="175"/>
      <c r="J33" s="176"/>
      <c r="K33" s="176"/>
      <c r="L33" s="176"/>
      <c r="M33" s="175"/>
    </row>
    <row r="34" spans="1:15" ht="30" customHeight="1">
      <c r="A34" s="178"/>
      <c r="B34" s="586" t="s">
        <v>132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</row>
    <row r="35" spans="2:14" ht="15.75">
      <c r="B35" s="126" t="s">
        <v>221</v>
      </c>
      <c r="I35" s="179"/>
      <c r="J35" s="179"/>
      <c r="K35" s="179"/>
      <c r="L35" s="179"/>
      <c r="N35" s="175"/>
    </row>
  </sheetData>
  <sheetProtection/>
  <mergeCells count="5">
    <mergeCell ref="E5:F5"/>
    <mergeCell ref="I5:J5"/>
    <mergeCell ref="K5:M5"/>
    <mergeCell ref="E4:O4"/>
    <mergeCell ref="B34:O34"/>
  </mergeCells>
  <printOptions/>
  <pageMargins left="0.5" right="0.5" top="0.5" bottom="0.5" header="0.5" footer="0.5"/>
  <pageSetup fitToHeight="1" fitToWidth="1" horizontalDpi="600" verticalDpi="600" orientation="landscape" paperSize="5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30" sqref="T30"/>
    </sheetView>
  </sheetViews>
  <sheetFormatPr defaultColWidth="9.33203125" defaultRowHeight="12.75"/>
  <cols>
    <col min="1" max="1" width="28.16015625" style="234" customWidth="1"/>
    <col min="2" max="2" width="15.5" style="234" customWidth="1"/>
    <col min="3" max="3" width="14.83203125" style="234" bestFit="1" customWidth="1"/>
    <col min="4" max="4" width="17.33203125" style="232" bestFit="1" customWidth="1"/>
    <col min="5" max="5" width="14.5" style="232" bestFit="1" customWidth="1"/>
    <col min="6" max="6" width="15.5" style="232" customWidth="1"/>
    <col min="7" max="7" width="1.83203125" style="232" customWidth="1"/>
    <col min="8" max="9" width="16.33203125" style="232" customWidth="1"/>
    <col min="10" max="10" width="1.83203125" style="232" customWidth="1"/>
    <col min="11" max="11" width="11.83203125" style="232" customWidth="1"/>
    <col min="12" max="12" width="2.5" style="232" customWidth="1"/>
    <col min="13" max="13" width="14.66015625" style="233" bestFit="1" customWidth="1"/>
    <col min="14" max="14" width="14.16015625" style="234" customWidth="1"/>
    <col min="15" max="15" width="17.66015625" style="234" bestFit="1" customWidth="1"/>
    <col min="16" max="16" width="15.33203125" style="234" bestFit="1" customWidth="1"/>
    <col min="17" max="16384" width="9.33203125" style="234" customWidth="1"/>
  </cols>
  <sheetData>
    <row r="1" spans="1:3" ht="15.75">
      <c r="A1" s="235" t="s">
        <v>192</v>
      </c>
      <c r="B1" s="231"/>
      <c r="C1" s="231"/>
    </row>
    <row r="2" spans="1:13" ht="15.75">
      <c r="A2" s="235"/>
      <c r="B2" s="235"/>
      <c r="C2" s="235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4" ht="15.75" customHeight="1" thickBot="1">
      <c r="A3" s="239"/>
      <c r="B3" s="587" t="s">
        <v>123</v>
      </c>
      <c r="C3" s="587"/>
      <c r="D3" s="587"/>
      <c r="E3" s="587"/>
      <c r="F3" s="587"/>
      <c r="G3" s="587"/>
      <c r="H3" s="587"/>
      <c r="I3" s="587"/>
      <c r="J3" s="587"/>
      <c r="K3" s="238"/>
      <c r="L3" s="238"/>
      <c r="M3" s="239"/>
      <c r="N3" s="240"/>
    </row>
    <row r="4" spans="1:16" s="245" customFormat="1" ht="25.5" customHeight="1">
      <c r="A4" s="269"/>
      <c r="B4" s="241">
        <v>-1</v>
      </c>
      <c r="C4" s="242">
        <v>-2</v>
      </c>
      <c r="D4" s="241">
        <v>-3</v>
      </c>
      <c r="E4" s="242">
        <v>-4</v>
      </c>
      <c r="F4" s="242">
        <f>-5</f>
        <v>-5</v>
      </c>
      <c r="G4" s="242"/>
      <c r="H4" s="242">
        <v>-6</v>
      </c>
      <c r="I4" s="242">
        <v>-7</v>
      </c>
      <c r="J4" s="242"/>
      <c r="K4" s="242">
        <v>-8</v>
      </c>
      <c r="L4" s="242"/>
      <c r="M4" s="243"/>
      <c r="N4" s="244"/>
      <c r="O4" s="242">
        <v>-9</v>
      </c>
      <c r="P4" s="242">
        <v>-10</v>
      </c>
    </row>
    <row r="5" spans="1:16" s="251" customFormat="1" ht="69" customHeight="1">
      <c r="A5" s="270"/>
      <c r="B5" s="246" t="s">
        <v>124</v>
      </c>
      <c r="C5" s="247" t="s">
        <v>125</v>
      </c>
      <c r="D5" s="248" t="s">
        <v>126</v>
      </c>
      <c r="E5" s="248" t="s">
        <v>127</v>
      </c>
      <c r="F5" s="246" t="s">
        <v>164</v>
      </c>
      <c r="G5" s="248"/>
      <c r="H5" s="350" t="s">
        <v>177</v>
      </c>
      <c r="I5" s="362" t="s">
        <v>178</v>
      </c>
      <c r="J5" s="248"/>
      <c r="K5" s="248" t="s">
        <v>131</v>
      </c>
      <c r="L5" s="249"/>
      <c r="M5" s="246" t="s">
        <v>166</v>
      </c>
      <c r="N5" s="250"/>
      <c r="O5" s="360" t="s">
        <v>167</v>
      </c>
      <c r="P5" s="246" t="s">
        <v>163</v>
      </c>
    </row>
    <row r="6" spans="1:16" s="267" customFormat="1" ht="12.75">
      <c r="A6" s="344"/>
      <c r="B6" s="345"/>
      <c r="C6" s="344"/>
      <c r="D6" s="346" t="s">
        <v>128</v>
      </c>
      <c r="E6" s="344"/>
      <c r="F6" s="347" t="s">
        <v>129</v>
      </c>
      <c r="G6" s="346"/>
      <c r="H6" s="355"/>
      <c r="I6" s="363"/>
      <c r="J6" s="346"/>
      <c r="K6" s="344"/>
      <c r="L6" s="344"/>
      <c r="M6" s="348" t="s">
        <v>130</v>
      </c>
      <c r="N6" s="349"/>
      <c r="O6" s="349"/>
      <c r="P6" s="347" t="s">
        <v>168</v>
      </c>
    </row>
    <row r="7" spans="1:16" s="255" customFormat="1" ht="9" customHeight="1">
      <c r="A7" s="253"/>
      <c r="B7" s="252"/>
      <c r="C7" s="253"/>
      <c r="D7" s="253"/>
      <c r="E7" s="253"/>
      <c r="F7" s="252"/>
      <c r="G7" s="253"/>
      <c r="H7" s="351"/>
      <c r="I7" s="364"/>
      <c r="J7" s="253"/>
      <c r="K7" s="253"/>
      <c r="L7" s="253"/>
      <c r="M7" s="256"/>
      <c r="N7" s="254"/>
      <c r="O7" s="256"/>
      <c r="P7" s="252"/>
    </row>
    <row r="8" spans="1:16" ht="15">
      <c r="A8" s="238" t="s">
        <v>0</v>
      </c>
      <c r="B8" s="257">
        <v>6885</v>
      </c>
      <c r="C8" s="238">
        <v>-413</v>
      </c>
      <c r="D8" s="238">
        <f>B8+C8</f>
        <v>6472</v>
      </c>
      <c r="E8" s="238">
        <v>198</v>
      </c>
      <c r="F8" s="257">
        <f>D8+E8</f>
        <v>6670</v>
      </c>
      <c r="G8" s="238"/>
      <c r="H8" s="352">
        <v>191</v>
      </c>
      <c r="I8" s="365">
        <f>F8+H8</f>
        <v>6861</v>
      </c>
      <c r="J8" s="238"/>
      <c r="K8" s="238">
        <v>98</v>
      </c>
      <c r="L8" s="238"/>
      <c r="M8" s="258">
        <f>I8+K8</f>
        <v>6959</v>
      </c>
      <c r="N8" s="259"/>
      <c r="O8" s="258">
        <v>0</v>
      </c>
      <c r="P8" s="257">
        <f aca="true" t="shared" si="0" ref="P8:P30">F8+O8</f>
        <v>6670</v>
      </c>
    </row>
    <row r="9" spans="1:16" ht="15">
      <c r="A9" s="238" t="s">
        <v>1</v>
      </c>
      <c r="B9" s="257">
        <v>2467</v>
      </c>
      <c r="C9" s="238">
        <v>0</v>
      </c>
      <c r="D9" s="238">
        <f aca="true" t="shared" si="1" ref="D9:D30">B9+C9</f>
        <v>2467</v>
      </c>
      <c r="E9" s="238">
        <v>0</v>
      </c>
      <c r="F9" s="257">
        <f aca="true" t="shared" si="2" ref="F9:F30">D9+E9</f>
        <v>2467</v>
      </c>
      <c r="G9" s="238"/>
      <c r="H9" s="352">
        <v>0</v>
      </c>
      <c r="I9" s="365">
        <f>F9+H9</f>
        <v>2467</v>
      </c>
      <c r="J9" s="238"/>
      <c r="K9" s="238">
        <v>10</v>
      </c>
      <c r="L9" s="238"/>
      <c r="M9" s="258">
        <f aca="true" t="shared" si="3" ref="M9:M30">I9+K9</f>
        <v>2477</v>
      </c>
      <c r="N9" s="259"/>
      <c r="O9" s="258">
        <v>590</v>
      </c>
      <c r="P9" s="257">
        <f t="shared" si="0"/>
        <v>3057</v>
      </c>
    </row>
    <row r="10" spans="1:16" ht="15">
      <c r="A10" s="238" t="s">
        <v>2</v>
      </c>
      <c r="B10" s="257">
        <v>14712</v>
      </c>
      <c r="C10" s="238">
        <v>-1398</v>
      </c>
      <c r="D10" s="238">
        <f t="shared" si="1"/>
        <v>13314</v>
      </c>
      <c r="E10" s="238">
        <v>645</v>
      </c>
      <c r="F10" s="257">
        <f t="shared" si="2"/>
        <v>13959</v>
      </c>
      <c r="G10" s="238"/>
      <c r="H10" s="352">
        <v>623</v>
      </c>
      <c r="I10" s="365">
        <f aca="true" t="shared" si="4" ref="I10:I30">F10+H10</f>
        <v>14582</v>
      </c>
      <c r="J10" s="238"/>
      <c r="K10" s="238">
        <v>438</v>
      </c>
      <c r="L10" s="238"/>
      <c r="M10" s="258">
        <f t="shared" si="3"/>
        <v>15020</v>
      </c>
      <c r="N10" s="259"/>
      <c r="O10" s="258">
        <v>0</v>
      </c>
      <c r="P10" s="257">
        <f t="shared" si="0"/>
        <v>13959</v>
      </c>
    </row>
    <row r="11" spans="1:16" ht="15">
      <c r="A11" s="238" t="s">
        <v>3</v>
      </c>
      <c r="B11" s="257">
        <v>9349</v>
      </c>
      <c r="C11" s="238">
        <v>-561</v>
      </c>
      <c r="D11" s="238">
        <f t="shared" si="1"/>
        <v>8788</v>
      </c>
      <c r="E11" s="238">
        <v>269</v>
      </c>
      <c r="F11" s="257">
        <f t="shared" si="2"/>
        <v>9057</v>
      </c>
      <c r="G11" s="238"/>
      <c r="H11" s="352">
        <v>260</v>
      </c>
      <c r="I11" s="365">
        <f t="shared" si="4"/>
        <v>9317</v>
      </c>
      <c r="J11" s="238"/>
      <c r="K11" s="238">
        <v>85</v>
      </c>
      <c r="L11" s="238"/>
      <c r="M11" s="258">
        <f t="shared" si="3"/>
        <v>9402</v>
      </c>
      <c r="N11" s="259"/>
      <c r="O11" s="258">
        <v>0</v>
      </c>
      <c r="P11" s="257">
        <f t="shared" si="0"/>
        <v>9057</v>
      </c>
    </row>
    <row r="12" spans="1:16" ht="15">
      <c r="A12" s="238" t="s">
        <v>29</v>
      </c>
      <c r="B12" s="257">
        <v>11764</v>
      </c>
      <c r="C12" s="238">
        <v>-1118</v>
      </c>
      <c r="D12" s="238">
        <f t="shared" si="1"/>
        <v>10646</v>
      </c>
      <c r="E12" s="238">
        <v>516</v>
      </c>
      <c r="F12" s="257">
        <f t="shared" si="2"/>
        <v>11162</v>
      </c>
      <c r="G12" s="238"/>
      <c r="H12" s="352">
        <v>498</v>
      </c>
      <c r="I12" s="365">
        <f t="shared" si="4"/>
        <v>11660</v>
      </c>
      <c r="J12" s="238"/>
      <c r="K12" s="238">
        <v>1030</v>
      </c>
      <c r="L12" s="238"/>
      <c r="M12" s="258">
        <f t="shared" si="3"/>
        <v>12690</v>
      </c>
      <c r="N12" s="259"/>
      <c r="O12" s="258">
        <v>0</v>
      </c>
      <c r="P12" s="257">
        <f t="shared" si="0"/>
        <v>11162</v>
      </c>
    </row>
    <row r="13" spans="1:16" ht="15">
      <c r="A13" s="238" t="s">
        <v>4</v>
      </c>
      <c r="B13" s="257">
        <v>18185</v>
      </c>
      <c r="C13" s="238">
        <v>-1728</v>
      </c>
      <c r="D13" s="238">
        <f t="shared" si="1"/>
        <v>16457</v>
      </c>
      <c r="E13" s="238">
        <v>798</v>
      </c>
      <c r="F13" s="257">
        <f t="shared" si="2"/>
        <v>17255</v>
      </c>
      <c r="G13" s="238"/>
      <c r="H13" s="352">
        <v>769</v>
      </c>
      <c r="I13" s="365">
        <f t="shared" si="4"/>
        <v>18024</v>
      </c>
      <c r="J13" s="238"/>
      <c r="K13" s="238">
        <v>512</v>
      </c>
      <c r="L13" s="238"/>
      <c r="M13" s="258">
        <f t="shared" si="3"/>
        <v>18536</v>
      </c>
      <c r="N13" s="259"/>
      <c r="O13" s="258">
        <v>0</v>
      </c>
      <c r="P13" s="257">
        <f t="shared" si="0"/>
        <v>17255</v>
      </c>
    </row>
    <row r="14" spans="1:16" ht="15">
      <c r="A14" s="238" t="s">
        <v>5</v>
      </c>
      <c r="B14" s="257">
        <v>27190</v>
      </c>
      <c r="C14" s="238">
        <v>-2945</v>
      </c>
      <c r="D14" s="238">
        <f t="shared" si="1"/>
        <v>24245</v>
      </c>
      <c r="E14" s="238">
        <v>1353</v>
      </c>
      <c r="F14" s="257">
        <f t="shared" si="2"/>
        <v>25598</v>
      </c>
      <c r="G14" s="238"/>
      <c r="H14" s="352">
        <v>1305</v>
      </c>
      <c r="I14" s="365">
        <f t="shared" si="4"/>
        <v>26903</v>
      </c>
      <c r="J14" s="238"/>
      <c r="K14" s="238">
        <v>911</v>
      </c>
      <c r="L14" s="238"/>
      <c r="M14" s="258">
        <f t="shared" si="3"/>
        <v>27814</v>
      </c>
      <c r="N14" s="259"/>
      <c r="O14" s="258">
        <v>0</v>
      </c>
      <c r="P14" s="257">
        <f t="shared" si="0"/>
        <v>25598</v>
      </c>
    </row>
    <row r="15" spans="1:16" ht="15">
      <c r="A15" s="238" t="s">
        <v>6</v>
      </c>
      <c r="B15" s="257">
        <v>7034</v>
      </c>
      <c r="C15" s="238">
        <v>-422</v>
      </c>
      <c r="D15" s="238">
        <f t="shared" si="1"/>
        <v>6612</v>
      </c>
      <c r="E15" s="238">
        <v>202</v>
      </c>
      <c r="F15" s="257">
        <f t="shared" si="2"/>
        <v>6814</v>
      </c>
      <c r="G15" s="238"/>
      <c r="H15" s="352">
        <v>196</v>
      </c>
      <c r="I15" s="365">
        <f t="shared" si="4"/>
        <v>7010</v>
      </c>
      <c r="J15" s="238"/>
      <c r="K15" s="238">
        <v>242</v>
      </c>
      <c r="L15" s="238"/>
      <c r="M15" s="258">
        <f t="shared" si="3"/>
        <v>7252</v>
      </c>
      <c r="N15" s="259"/>
      <c r="O15" s="258">
        <v>0</v>
      </c>
      <c r="P15" s="257">
        <f t="shared" si="0"/>
        <v>6814</v>
      </c>
    </row>
    <row r="16" spans="1:16" ht="15">
      <c r="A16" s="238" t="s">
        <v>7</v>
      </c>
      <c r="B16" s="257">
        <v>28100</v>
      </c>
      <c r="C16" s="238">
        <v>-3044</v>
      </c>
      <c r="D16" s="238">
        <f t="shared" si="1"/>
        <v>25056</v>
      </c>
      <c r="E16" s="238">
        <v>1398</v>
      </c>
      <c r="F16" s="257">
        <f t="shared" si="2"/>
        <v>26454</v>
      </c>
      <c r="G16" s="238"/>
      <c r="H16" s="352">
        <v>1348</v>
      </c>
      <c r="I16" s="365">
        <f t="shared" si="4"/>
        <v>27802</v>
      </c>
      <c r="J16" s="238"/>
      <c r="K16" s="238">
        <v>1241</v>
      </c>
      <c r="L16" s="238"/>
      <c r="M16" s="258">
        <f t="shared" si="3"/>
        <v>29043</v>
      </c>
      <c r="N16" s="259"/>
      <c r="O16" s="258">
        <v>0</v>
      </c>
      <c r="P16" s="257">
        <f t="shared" si="0"/>
        <v>26454</v>
      </c>
    </row>
    <row r="17" spans="1:16" ht="15">
      <c r="A17" s="238" t="s">
        <v>8</v>
      </c>
      <c r="B17" s="257">
        <v>17000</v>
      </c>
      <c r="C17" s="238">
        <v>-1615</v>
      </c>
      <c r="D17" s="238">
        <f t="shared" si="1"/>
        <v>15385</v>
      </c>
      <c r="E17" s="238">
        <v>746</v>
      </c>
      <c r="F17" s="257">
        <f t="shared" si="2"/>
        <v>16131</v>
      </c>
      <c r="G17" s="238"/>
      <c r="H17" s="352">
        <v>719</v>
      </c>
      <c r="I17" s="365">
        <f t="shared" si="4"/>
        <v>16850</v>
      </c>
      <c r="J17" s="238"/>
      <c r="K17" s="238">
        <v>911</v>
      </c>
      <c r="L17" s="238"/>
      <c r="M17" s="258">
        <f t="shared" si="3"/>
        <v>17761</v>
      </c>
      <c r="N17" s="259"/>
      <c r="O17" s="258">
        <v>0</v>
      </c>
      <c r="P17" s="257">
        <f t="shared" si="0"/>
        <v>16131</v>
      </c>
    </row>
    <row r="18" spans="1:16" ht="15">
      <c r="A18" s="238" t="s">
        <v>9</v>
      </c>
      <c r="B18" s="257">
        <v>870</v>
      </c>
      <c r="C18" s="238">
        <v>0</v>
      </c>
      <c r="D18" s="238">
        <f t="shared" si="1"/>
        <v>870</v>
      </c>
      <c r="E18" s="238">
        <v>0</v>
      </c>
      <c r="F18" s="257">
        <f t="shared" si="2"/>
        <v>870</v>
      </c>
      <c r="G18" s="238"/>
      <c r="H18" s="352">
        <v>0</v>
      </c>
      <c r="I18" s="365">
        <f t="shared" si="4"/>
        <v>870</v>
      </c>
      <c r="J18" s="238"/>
      <c r="K18" s="238">
        <v>52</v>
      </c>
      <c r="L18" s="238"/>
      <c r="M18" s="258">
        <f t="shared" si="3"/>
        <v>922</v>
      </c>
      <c r="N18" s="259"/>
      <c r="O18" s="258">
        <v>80</v>
      </c>
      <c r="P18" s="257">
        <f t="shared" si="0"/>
        <v>950</v>
      </c>
    </row>
    <row r="19" spans="1:16" ht="15">
      <c r="A19" s="238" t="s">
        <v>10</v>
      </c>
      <c r="B19" s="257">
        <v>3640</v>
      </c>
      <c r="C19" s="238">
        <v>0</v>
      </c>
      <c r="D19" s="238">
        <f t="shared" si="1"/>
        <v>3640</v>
      </c>
      <c r="E19" s="238">
        <v>0</v>
      </c>
      <c r="F19" s="257">
        <f t="shared" si="2"/>
        <v>3640</v>
      </c>
      <c r="G19" s="238"/>
      <c r="H19" s="352">
        <v>0</v>
      </c>
      <c r="I19" s="365">
        <f t="shared" si="4"/>
        <v>3640</v>
      </c>
      <c r="J19" s="238"/>
      <c r="K19" s="238">
        <v>129</v>
      </c>
      <c r="L19" s="238"/>
      <c r="M19" s="258">
        <f t="shared" si="3"/>
        <v>3769</v>
      </c>
      <c r="N19" s="259"/>
      <c r="O19" s="258">
        <v>260</v>
      </c>
      <c r="P19" s="257">
        <f t="shared" si="0"/>
        <v>3900</v>
      </c>
    </row>
    <row r="20" spans="1:16" ht="15">
      <c r="A20" s="238" t="s">
        <v>11</v>
      </c>
      <c r="B20" s="257">
        <v>25733</v>
      </c>
      <c r="C20" s="238">
        <v>-2787</v>
      </c>
      <c r="D20" s="238">
        <f t="shared" si="1"/>
        <v>22946</v>
      </c>
      <c r="E20" s="238">
        <v>1280</v>
      </c>
      <c r="F20" s="257">
        <f t="shared" si="2"/>
        <v>24226</v>
      </c>
      <c r="G20" s="238"/>
      <c r="H20" s="352">
        <v>1235</v>
      </c>
      <c r="I20" s="365">
        <f t="shared" si="4"/>
        <v>25461</v>
      </c>
      <c r="J20" s="238"/>
      <c r="K20" s="238">
        <v>1495</v>
      </c>
      <c r="L20" s="238"/>
      <c r="M20" s="258">
        <f t="shared" si="3"/>
        <v>26956</v>
      </c>
      <c r="N20" s="259"/>
      <c r="O20" s="258">
        <v>0</v>
      </c>
      <c r="P20" s="257">
        <f t="shared" si="0"/>
        <v>24226</v>
      </c>
    </row>
    <row r="21" spans="1:16" ht="15">
      <c r="A21" s="238" t="s">
        <v>12</v>
      </c>
      <c r="B21" s="257">
        <v>17816</v>
      </c>
      <c r="C21" s="238">
        <v>-1693</v>
      </c>
      <c r="D21" s="238">
        <f t="shared" si="1"/>
        <v>16123</v>
      </c>
      <c r="E21" s="238">
        <v>782</v>
      </c>
      <c r="F21" s="257">
        <f t="shared" si="2"/>
        <v>16905</v>
      </c>
      <c r="G21" s="238"/>
      <c r="H21" s="352">
        <v>754</v>
      </c>
      <c r="I21" s="365">
        <f t="shared" si="4"/>
        <v>17659</v>
      </c>
      <c r="J21" s="238"/>
      <c r="K21" s="238">
        <v>755</v>
      </c>
      <c r="L21" s="238"/>
      <c r="M21" s="258">
        <f t="shared" si="3"/>
        <v>18414</v>
      </c>
      <c r="N21" s="259"/>
      <c r="O21" s="258">
        <v>0</v>
      </c>
      <c r="P21" s="257">
        <f t="shared" si="0"/>
        <v>16905</v>
      </c>
    </row>
    <row r="22" spans="1:16" ht="15">
      <c r="A22" s="238" t="s">
        <v>13</v>
      </c>
      <c r="B22" s="257">
        <v>22970</v>
      </c>
      <c r="C22" s="238">
        <v>-2488</v>
      </c>
      <c r="D22" s="238">
        <f t="shared" si="1"/>
        <v>20482</v>
      </c>
      <c r="E22" s="238">
        <v>1143</v>
      </c>
      <c r="F22" s="257">
        <f t="shared" si="2"/>
        <v>21625</v>
      </c>
      <c r="G22" s="238"/>
      <c r="H22" s="352">
        <v>1102</v>
      </c>
      <c r="I22" s="365">
        <f t="shared" si="4"/>
        <v>22727</v>
      </c>
      <c r="J22" s="238"/>
      <c r="K22" s="238">
        <v>456</v>
      </c>
      <c r="L22" s="238"/>
      <c r="M22" s="258">
        <f t="shared" si="3"/>
        <v>23183</v>
      </c>
      <c r="N22" s="259"/>
      <c r="O22" s="258">
        <v>0</v>
      </c>
      <c r="P22" s="257">
        <f t="shared" si="0"/>
        <v>21625</v>
      </c>
    </row>
    <row r="23" spans="1:16" ht="15">
      <c r="A23" s="238" t="s">
        <v>14</v>
      </c>
      <c r="B23" s="257">
        <v>14415</v>
      </c>
      <c r="C23" s="238">
        <v>-1369</v>
      </c>
      <c r="D23" s="238">
        <f t="shared" si="1"/>
        <v>13046</v>
      </c>
      <c r="E23" s="238">
        <v>632</v>
      </c>
      <c r="F23" s="257">
        <f t="shared" si="2"/>
        <v>13678</v>
      </c>
      <c r="G23" s="238"/>
      <c r="H23" s="352">
        <v>611</v>
      </c>
      <c r="I23" s="365">
        <f t="shared" si="4"/>
        <v>14289</v>
      </c>
      <c r="J23" s="238"/>
      <c r="K23" s="238">
        <v>490</v>
      </c>
      <c r="L23" s="238"/>
      <c r="M23" s="258">
        <f t="shared" si="3"/>
        <v>14779</v>
      </c>
      <c r="N23" s="259"/>
      <c r="O23" s="258">
        <v>0</v>
      </c>
      <c r="P23" s="257">
        <f t="shared" si="0"/>
        <v>13678</v>
      </c>
    </row>
    <row r="24" spans="1:16" ht="15">
      <c r="A24" s="238" t="s">
        <v>15</v>
      </c>
      <c r="B24" s="257">
        <v>28298</v>
      </c>
      <c r="C24" s="238">
        <v>-3065</v>
      </c>
      <c r="D24" s="238">
        <f t="shared" si="1"/>
        <v>25233</v>
      </c>
      <c r="E24" s="238">
        <v>1408</v>
      </c>
      <c r="F24" s="257">
        <f t="shared" si="2"/>
        <v>26641</v>
      </c>
      <c r="G24" s="238"/>
      <c r="H24" s="352">
        <v>1358</v>
      </c>
      <c r="I24" s="365">
        <f t="shared" si="4"/>
        <v>27999</v>
      </c>
      <c r="J24" s="238"/>
      <c r="K24" s="238">
        <v>1771</v>
      </c>
      <c r="L24" s="238"/>
      <c r="M24" s="258">
        <f t="shared" si="3"/>
        <v>29770</v>
      </c>
      <c r="N24" s="259"/>
      <c r="O24" s="258">
        <v>0</v>
      </c>
      <c r="P24" s="257">
        <f t="shared" si="0"/>
        <v>26641</v>
      </c>
    </row>
    <row r="25" spans="1:16" ht="15">
      <c r="A25" s="238" t="s">
        <v>16</v>
      </c>
      <c r="B25" s="257">
        <v>23416</v>
      </c>
      <c r="C25" s="238">
        <v>-2537</v>
      </c>
      <c r="D25" s="238">
        <f t="shared" si="1"/>
        <v>20879</v>
      </c>
      <c r="E25" s="238">
        <v>1165</v>
      </c>
      <c r="F25" s="257">
        <f t="shared" si="2"/>
        <v>22044</v>
      </c>
      <c r="G25" s="238"/>
      <c r="H25" s="352">
        <v>1124</v>
      </c>
      <c r="I25" s="365">
        <f t="shared" si="4"/>
        <v>23168</v>
      </c>
      <c r="J25" s="238"/>
      <c r="K25" s="238">
        <v>1796</v>
      </c>
      <c r="L25" s="238"/>
      <c r="M25" s="258">
        <f t="shared" si="3"/>
        <v>24964</v>
      </c>
      <c r="N25" s="259"/>
      <c r="O25" s="258">
        <v>0</v>
      </c>
      <c r="P25" s="257">
        <f t="shared" si="0"/>
        <v>22044</v>
      </c>
    </row>
    <row r="26" spans="1:16" ht="15">
      <c r="A26" s="238" t="s">
        <v>17</v>
      </c>
      <c r="B26" s="257">
        <v>22460</v>
      </c>
      <c r="C26" s="238">
        <v>-2433</v>
      </c>
      <c r="D26" s="238">
        <f t="shared" si="1"/>
        <v>20027</v>
      </c>
      <c r="E26" s="238">
        <v>1118</v>
      </c>
      <c r="F26" s="257">
        <f t="shared" si="2"/>
        <v>21145</v>
      </c>
      <c r="G26" s="238"/>
      <c r="H26" s="352">
        <v>1077</v>
      </c>
      <c r="I26" s="365">
        <f t="shared" si="4"/>
        <v>22222</v>
      </c>
      <c r="J26" s="238"/>
      <c r="K26" s="238">
        <v>1751</v>
      </c>
      <c r="L26" s="238"/>
      <c r="M26" s="258">
        <f t="shared" si="3"/>
        <v>23973</v>
      </c>
      <c r="N26" s="259"/>
      <c r="O26" s="258">
        <v>0</v>
      </c>
      <c r="P26" s="257">
        <f t="shared" si="0"/>
        <v>21145</v>
      </c>
    </row>
    <row r="27" spans="1:16" ht="15">
      <c r="A27" s="238" t="s">
        <v>18</v>
      </c>
      <c r="B27" s="257">
        <v>17350</v>
      </c>
      <c r="C27" s="238">
        <v>-1648</v>
      </c>
      <c r="D27" s="238">
        <f t="shared" si="1"/>
        <v>15702</v>
      </c>
      <c r="E27" s="238">
        <v>761</v>
      </c>
      <c r="F27" s="257">
        <f t="shared" si="2"/>
        <v>16463</v>
      </c>
      <c r="G27" s="238"/>
      <c r="H27" s="352">
        <v>735</v>
      </c>
      <c r="I27" s="365">
        <f t="shared" si="4"/>
        <v>17198</v>
      </c>
      <c r="J27" s="238"/>
      <c r="K27" s="238">
        <v>709</v>
      </c>
      <c r="L27" s="238"/>
      <c r="M27" s="258">
        <f t="shared" si="3"/>
        <v>17907</v>
      </c>
      <c r="N27" s="259"/>
      <c r="O27" s="258">
        <v>0</v>
      </c>
      <c r="P27" s="257">
        <f t="shared" si="0"/>
        <v>16463</v>
      </c>
    </row>
    <row r="28" spans="1:16" ht="15">
      <c r="A28" s="238" t="s">
        <v>19</v>
      </c>
      <c r="B28" s="257">
        <v>7283</v>
      </c>
      <c r="C28" s="238">
        <v>-437</v>
      </c>
      <c r="D28" s="238">
        <f t="shared" si="1"/>
        <v>6846</v>
      </c>
      <c r="E28" s="238">
        <v>209</v>
      </c>
      <c r="F28" s="257">
        <f t="shared" si="2"/>
        <v>7055</v>
      </c>
      <c r="G28" s="238"/>
      <c r="H28" s="352">
        <v>203</v>
      </c>
      <c r="I28" s="365">
        <f t="shared" si="4"/>
        <v>7258</v>
      </c>
      <c r="J28" s="238"/>
      <c r="K28" s="238">
        <v>94</v>
      </c>
      <c r="L28" s="238"/>
      <c r="M28" s="258">
        <f t="shared" si="3"/>
        <v>7352</v>
      </c>
      <c r="N28" s="259"/>
      <c r="O28" s="258">
        <v>0</v>
      </c>
      <c r="P28" s="257">
        <f t="shared" si="0"/>
        <v>7055</v>
      </c>
    </row>
    <row r="29" spans="1:16" ht="15">
      <c r="A29" s="238" t="s">
        <v>20</v>
      </c>
      <c r="B29" s="257">
        <v>7500</v>
      </c>
      <c r="C29" s="238">
        <v>-450</v>
      </c>
      <c r="D29" s="238">
        <f t="shared" si="1"/>
        <v>7050</v>
      </c>
      <c r="E29" s="238">
        <v>216</v>
      </c>
      <c r="F29" s="257">
        <f t="shared" si="2"/>
        <v>7266</v>
      </c>
      <c r="G29" s="238"/>
      <c r="H29" s="352">
        <v>208</v>
      </c>
      <c r="I29" s="365">
        <f t="shared" si="4"/>
        <v>7474</v>
      </c>
      <c r="J29" s="238"/>
      <c r="K29" s="238">
        <v>92</v>
      </c>
      <c r="L29" s="238"/>
      <c r="M29" s="258">
        <f t="shared" si="3"/>
        <v>7566</v>
      </c>
      <c r="N29" s="259"/>
      <c r="O29" s="258">
        <v>0</v>
      </c>
      <c r="P29" s="257">
        <f t="shared" si="0"/>
        <v>7266</v>
      </c>
    </row>
    <row r="30" spans="1:16" ht="15">
      <c r="A30" s="238" t="s">
        <v>21</v>
      </c>
      <c r="B30" s="257">
        <v>7090</v>
      </c>
      <c r="C30" s="238">
        <v>-425</v>
      </c>
      <c r="D30" s="238">
        <f t="shared" si="1"/>
        <v>6665</v>
      </c>
      <c r="E30" s="238">
        <v>204</v>
      </c>
      <c r="F30" s="257">
        <f t="shared" si="2"/>
        <v>6869</v>
      </c>
      <c r="G30" s="238"/>
      <c r="H30" s="352">
        <v>197</v>
      </c>
      <c r="I30" s="365">
        <f t="shared" si="4"/>
        <v>7066</v>
      </c>
      <c r="J30" s="238"/>
      <c r="K30" s="238">
        <v>87</v>
      </c>
      <c r="L30" s="238"/>
      <c r="M30" s="258">
        <f t="shared" si="3"/>
        <v>7153</v>
      </c>
      <c r="N30" s="259"/>
      <c r="O30" s="258">
        <v>0</v>
      </c>
      <c r="P30" s="257">
        <f t="shared" si="0"/>
        <v>6869</v>
      </c>
    </row>
    <row r="31" spans="1:16" ht="9" customHeight="1">
      <c r="A31" s="356"/>
      <c r="B31" s="357"/>
      <c r="C31" s="356"/>
      <c r="D31" s="356"/>
      <c r="E31" s="356"/>
      <c r="F31" s="357"/>
      <c r="G31" s="356"/>
      <c r="H31" s="358"/>
      <c r="I31" s="366"/>
      <c r="J31" s="356"/>
      <c r="K31" s="356"/>
      <c r="L31" s="356"/>
      <c r="M31" s="357"/>
      <c r="N31" s="259"/>
      <c r="O31" s="361"/>
      <c r="P31" s="357"/>
    </row>
    <row r="32" spans="1:16" s="233" customFormat="1" ht="18.75" customHeight="1" thickBot="1">
      <c r="A32" s="261" t="s">
        <v>22</v>
      </c>
      <c r="B32" s="260">
        <f>SUM(B8:B30)</f>
        <v>341527</v>
      </c>
      <c r="C32" s="261">
        <f>D32-B32</f>
        <v>-32576</v>
      </c>
      <c r="D32" s="261">
        <f>SUM(D8:D30)</f>
        <v>308951</v>
      </c>
      <c r="E32" s="261">
        <f>SUM(E8:E30)</f>
        <v>15043</v>
      </c>
      <c r="F32" s="260">
        <f>SUM(F8:F30)</f>
        <v>323994</v>
      </c>
      <c r="G32" s="261"/>
      <c r="H32" s="353">
        <f>SUM(H8:H30)</f>
        <v>14513</v>
      </c>
      <c r="I32" s="367">
        <f>SUM(I8:I30)</f>
        <v>338507</v>
      </c>
      <c r="J32" s="261"/>
      <c r="K32" s="261">
        <f>SUM(K8:K30)</f>
        <v>15155</v>
      </c>
      <c r="L32" s="261"/>
      <c r="M32" s="260">
        <f>SUM(M8:M30)</f>
        <v>353662</v>
      </c>
      <c r="N32" s="263"/>
      <c r="O32" s="262">
        <f>SUM(O8:O30)</f>
        <v>930</v>
      </c>
      <c r="P32" s="260">
        <f>SUM(P8:P30)</f>
        <v>324924</v>
      </c>
    </row>
    <row r="33" spans="1:16" ht="9" customHeight="1" thickTop="1">
      <c r="A33" s="238"/>
      <c r="B33" s="257"/>
      <c r="C33" s="238"/>
      <c r="D33" s="238"/>
      <c r="E33" s="238"/>
      <c r="F33" s="257"/>
      <c r="G33" s="238"/>
      <c r="H33" s="352"/>
      <c r="I33" s="365"/>
      <c r="J33" s="238"/>
      <c r="K33" s="238"/>
      <c r="L33" s="238"/>
      <c r="M33" s="258"/>
      <c r="N33" s="259"/>
      <c r="O33" s="258"/>
      <c r="P33" s="257"/>
    </row>
    <row r="34" spans="1:16" ht="15">
      <c r="A34" s="238" t="s">
        <v>23</v>
      </c>
      <c r="B34" s="257">
        <v>0</v>
      </c>
      <c r="C34" s="238">
        <v>0</v>
      </c>
      <c r="D34" s="238">
        <f>B34+C34</f>
        <v>0</v>
      </c>
      <c r="E34" s="238">
        <v>0</v>
      </c>
      <c r="F34" s="257">
        <f>D34+E34</f>
        <v>0</v>
      </c>
      <c r="G34" s="238"/>
      <c r="H34" s="352">
        <v>0</v>
      </c>
      <c r="I34" s="365">
        <f>F34+H34</f>
        <v>0</v>
      </c>
      <c r="J34" s="238"/>
      <c r="K34" s="238">
        <v>0</v>
      </c>
      <c r="L34" s="238"/>
      <c r="M34" s="258">
        <f>I34+K34</f>
        <v>0</v>
      </c>
      <c r="N34" s="259"/>
      <c r="O34" s="258">
        <v>0</v>
      </c>
      <c r="P34" s="257">
        <f>F34+O34</f>
        <v>0</v>
      </c>
    </row>
    <row r="35" spans="1:16" ht="15">
      <c r="A35" s="238" t="s">
        <v>32</v>
      </c>
      <c r="B35" s="257">
        <v>650</v>
      </c>
      <c r="C35" s="238">
        <v>0</v>
      </c>
      <c r="D35" s="238">
        <f>B35+C35</f>
        <v>650</v>
      </c>
      <c r="E35" s="238">
        <v>0</v>
      </c>
      <c r="F35" s="257">
        <f>D35+E35</f>
        <v>650</v>
      </c>
      <c r="G35" s="238"/>
      <c r="H35" s="352">
        <v>0</v>
      </c>
      <c r="I35" s="365">
        <f>F35+H35</f>
        <v>650</v>
      </c>
      <c r="J35" s="238"/>
      <c r="K35" s="238">
        <v>0</v>
      </c>
      <c r="L35" s="238"/>
      <c r="M35" s="258">
        <f>I35+K35</f>
        <v>650</v>
      </c>
      <c r="N35" s="259"/>
      <c r="O35" s="258">
        <v>0</v>
      </c>
      <c r="P35" s="257">
        <f>F35+O35</f>
        <v>650</v>
      </c>
    </row>
    <row r="36" spans="1:16" ht="15">
      <c r="A36" s="238" t="s">
        <v>24</v>
      </c>
      <c r="B36" s="257">
        <v>665</v>
      </c>
      <c r="C36" s="238">
        <v>0</v>
      </c>
      <c r="D36" s="238">
        <f>B36+C36</f>
        <v>665</v>
      </c>
      <c r="E36" s="238">
        <v>0</v>
      </c>
      <c r="F36" s="257">
        <f>D36+E36</f>
        <v>665</v>
      </c>
      <c r="G36" s="238"/>
      <c r="H36" s="352">
        <v>0</v>
      </c>
      <c r="I36" s="365">
        <f>F36+H36</f>
        <v>665</v>
      </c>
      <c r="J36" s="238"/>
      <c r="K36" s="238">
        <v>12</v>
      </c>
      <c r="L36" s="238"/>
      <c r="M36" s="258">
        <f>I36+K36</f>
        <v>677</v>
      </c>
      <c r="N36" s="259"/>
      <c r="O36" s="258">
        <v>0</v>
      </c>
      <c r="P36" s="257">
        <f>F36+O36</f>
        <v>665</v>
      </c>
    </row>
    <row r="37" spans="1:16" ht="15">
      <c r="A37" s="238" t="s">
        <v>25</v>
      </c>
      <c r="B37" s="257">
        <v>51</v>
      </c>
      <c r="C37" s="238">
        <v>0</v>
      </c>
      <c r="D37" s="238">
        <f>B37+C37</f>
        <v>51</v>
      </c>
      <c r="E37" s="238">
        <v>0</v>
      </c>
      <c r="F37" s="257">
        <f>D37+E37</f>
        <v>51</v>
      </c>
      <c r="G37" s="238"/>
      <c r="H37" s="352">
        <v>0</v>
      </c>
      <c r="I37" s="365">
        <f>F37+H37</f>
        <v>51</v>
      </c>
      <c r="J37" s="238"/>
      <c r="K37" s="238">
        <v>3</v>
      </c>
      <c r="L37" s="238"/>
      <c r="M37" s="258">
        <f>I37+K37</f>
        <v>54</v>
      </c>
      <c r="N37" s="259"/>
      <c r="O37" s="258">
        <v>0</v>
      </c>
      <c r="P37" s="257">
        <f>F37+O37</f>
        <v>51</v>
      </c>
    </row>
    <row r="38" spans="1:16" ht="15">
      <c r="A38" s="238" t="s">
        <v>26</v>
      </c>
      <c r="B38" s="257">
        <v>0</v>
      </c>
      <c r="C38" s="238">
        <v>0</v>
      </c>
      <c r="D38" s="238">
        <f>B38+C38</f>
        <v>0</v>
      </c>
      <c r="E38" s="238">
        <v>0</v>
      </c>
      <c r="F38" s="257">
        <f>D38+E38</f>
        <v>0</v>
      </c>
      <c r="G38" s="238"/>
      <c r="H38" s="352">
        <v>0</v>
      </c>
      <c r="I38" s="365">
        <f>F38+H38</f>
        <v>0</v>
      </c>
      <c r="J38" s="238"/>
      <c r="K38" s="238">
        <v>0</v>
      </c>
      <c r="L38" s="238"/>
      <c r="M38" s="258">
        <f>I38+K38</f>
        <v>0</v>
      </c>
      <c r="N38" s="259"/>
      <c r="O38" s="258">
        <v>0</v>
      </c>
      <c r="P38" s="257">
        <f>F38+O38</f>
        <v>0</v>
      </c>
    </row>
    <row r="39" spans="1:16" ht="9" customHeight="1">
      <c r="A39" s="238"/>
      <c r="B39" s="257"/>
      <c r="C39" s="238"/>
      <c r="D39" s="238"/>
      <c r="E39" s="238"/>
      <c r="F39" s="257"/>
      <c r="G39" s="238"/>
      <c r="H39" s="352"/>
      <c r="I39" s="365"/>
      <c r="J39" s="361"/>
      <c r="K39" s="238"/>
      <c r="L39" s="238"/>
      <c r="M39" s="258"/>
      <c r="N39" s="259"/>
      <c r="O39" s="258"/>
      <c r="P39" s="257"/>
    </row>
    <row r="40" spans="1:16" s="233" customFormat="1" ht="22.5" customHeight="1" thickBot="1">
      <c r="A40" s="265" t="s">
        <v>27</v>
      </c>
      <c r="B40" s="264">
        <f>SUM(B34:B38,B32)</f>
        <v>342893</v>
      </c>
      <c r="C40" s="265">
        <f>D40-B40</f>
        <v>-32576</v>
      </c>
      <c r="D40" s="265">
        <f>SUM(D34:D38,D32)</f>
        <v>310317</v>
      </c>
      <c r="E40" s="265">
        <f>SUM(E34:E38,E32)</f>
        <v>15043</v>
      </c>
      <c r="F40" s="264">
        <f>SUM(F34:F38,F32)</f>
        <v>325360</v>
      </c>
      <c r="G40" s="265"/>
      <c r="H40" s="354">
        <f>SUM(H34:H38,H32)</f>
        <v>14513</v>
      </c>
      <c r="I40" s="368">
        <f>SUM(I34:I38,I32)</f>
        <v>339873</v>
      </c>
      <c r="J40" s="359"/>
      <c r="K40" s="265">
        <f>SUM(K32:K38)</f>
        <v>15170</v>
      </c>
      <c r="L40" s="265"/>
      <c r="M40" s="264">
        <f>SUM(M32:M38)</f>
        <v>355043</v>
      </c>
      <c r="N40" s="263"/>
      <c r="O40" s="266">
        <f>SUM(O34:O38,O32)</f>
        <v>930</v>
      </c>
      <c r="P40" s="264">
        <f>SUM(P34:P38,P32)</f>
        <v>326290</v>
      </c>
    </row>
    <row r="41" spans="1:3" ht="12.75">
      <c r="A41" s="233"/>
      <c r="B41" s="233"/>
      <c r="C41" s="233"/>
    </row>
    <row r="42" spans="1:16" s="267" customFormat="1" ht="32.25" customHeight="1">
      <c r="A42" s="588" t="s">
        <v>179</v>
      </c>
      <c r="B42" s="588"/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</row>
    <row r="43" spans="1:13" s="267" customFormat="1" ht="20.25" customHeight="1">
      <c r="A43" s="415" t="s">
        <v>193</v>
      </c>
      <c r="M43" s="268"/>
    </row>
  </sheetData>
  <sheetProtection/>
  <mergeCells count="2">
    <mergeCell ref="B3:J3"/>
    <mergeCell ref="A42:P42"/>
  </mergeCells>
  <printOptions horizontalCentered="1"/>
  <pageMargins left="0.5" right="0.5" top="0.5" bottom="0.75" header="0.5" footer="0.5"/>
  <pageSetup fitToHeight="1" fitToWidth="1" horizontalDpi="600" verticalDpi="600" orientation="landscape" paperSize="5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.75"/>
  <cols>
    <col min="1" max="1" width="36.16015625" style="84" customWidth="1"/>
    <col min="2" max="2" width="14.66015625" style="84" bestFit="1" customWidth="1"/>
    <col min="3" max="3" width="31.16015625" style="85" customWidth="1"/>
    <col min="4" max="4" width="14.5" style="84" bestFit="1" customWidth="1"/>
    <col min="5" max="5" width="3.16015625" style="84" customWidth="1"/>
    <col min="6" max="6" width="14.5" style="84" bestFit="1" customWidth="1"/>
    <col min="7" max="7" width="3.16015625" style="84" customWidth="1"/>
    <col min="8" max="8" width="14.5" style="84" bestFit="1" customWidth="1"/>
    <col min="9" max="9" width="3.5" style="84" customWidth="1"/>
    <col min="10" max="10" width="14.5" style="85" bestFit="1" customWidth="1"/>
    <col min="11" max="11" width="9.33203125" style="84" customWidth="1"/>
    <col min="12" max="12" width="17" style="84" bestFit="1" customWidth="1"/>
    <col min="13" max="13" width="15.83203125" style="84" bestFit="1" customWidth="1"/>
    <col min="14" max="14" width="17" style="84" bestFit="1" customWidth="1"/>
    <col min="15" max="16384" width="9.33203125" style="84" customWidth="1"/>
  </cols>
  <sheetData>
    <row r="1" ht="16.5">
      <c r="A1" s="83" t="s">
        <v>122</v>
      </c>
    </row>
    <row r="2" ht="15.75">
      <c r="A2" s="86" t="s">
        <v>120</v>
      </c>
    </row>
    <row r="3" ht="15.75">
      <c r="A3" s="113"/>
    </row>
    <row r="4" spans="1:10" s="85" customFormat="1" ht="21" customHeight="1">
      <c r="A4" s="87"/>
      <c r="B4" s="88"/>
      <c r="C4" s="87"/>
      <c r="D4" s="589" t="s">
        <v>36</v>
      </c>
      <c r="E4" s="589"/>
      <c r="F4" s="589"/>
      <c r="G4" s="589"/>
      <c r="H4" s="589"/>
      <c r="I4" s="589"/>
      <c r="J4" s="589"/>
    </row>
    <row r="5" spans="1:10" s="90" customFormat="1" ht="50.25">
      <c r="A5" s="89" t="s">
        <v>37</v>
      </c>
      <c r="B5" s="221" t="s">
        <v>38</v>
      </c>
      <c r="C5" s="89"/>
      <c r="D5" s="120">
        <v>40360</v>
      </c>
      <c r="E5" s="120"/>
      <c r="F5" s="120">
        <v>40452</v>
      </c>
      <c r="G5" s="120"/>
      <c r="H5" s="120">
        <v>40544</v>
      </c>
      <c r="I5" s="120"/>
      <c r="J5" s="120">
        <v>40634</v>
      </c>
    </row>
    <row r="6" spans="1:9" ht="15.75">
      <c r="A6" s="91"/>
      <c r="B6" s="222"/>
      <c r="D6" s="85"/>
      <c r="E6" s="85"/>
      <c r="F6" s="85"/>
      <c r="G6" s="85"/>
      <c r="H6" s="85"/>
      <c r="I6" s="85"/>
    </row>
    <row r="7" spans="1:10" ht="15.75">
      <c r="A7" s="92" t="s">
        <v>0</v>
      </c>
      <c r="B7" s="223">
        <v>122500</v>
      </c>
      <c r="C7" s="92"/>
      <c r="D7" s="92">
        <f>ROUND(B7/4,2)</f>
        <v>30625</v>
      </c>
      <c r="E7" s="92"/>
      <c r="F7" s="92">
        <f aca="true" t="shared" si="0" ref="F7:F29">D7</f>
        <v>30625</v>
      </c>
      <c r="G7" s="92"/>
      <c r="H7" s="92">
        <f aca="true" t="shared" si="1" ref="H7:H29">F7</f>
        <v>30625</v>
      </c>
      <c r="I7" s="92"/>
      <c r="J7" s="92">
        <f aca="true" t="shared" si="2" ref="J7:J29">H7</f>
        <v>30625</v>
      </c>
    </row>
    <row r="8" spans="1:10" ht="15.75">
      <c r="A8" s="93" t="s">
        <v>1</v>
      </c>
      <c r="B8" s="224">
        <v>55200</v>
      </c>
      <c r="C8" s="94"/>
      <c r="D8" s="94">
        <f aca="true" t="shared" si="3" ref="D8:D29">ROUND(B8/4,2)</f>
        <v>13800</v>
      </c>
      <c r="E8" s="94"/>
      <c r="F8" s="94">
        <f t="shared" si="0"/>
        <v>13800</v>
      </c>
      <c r="G8" s="94"/>
      <c r="H8" s="94">
        <f t="shared" si="1"/>
        <v>13800</v>
      </c>
      <c r="I8" s="94"/>
      <c r="J8" s="94">
        <f t="shared" si="2"/>
        <v>13800</v>
      </c>
    </row>
    <row r="9" spans="1:10" ht="15.75">
      <c r="A9" s="93" t="s">
        <v>2</v>
      </c>
      <c r="B9" s="224">
        <v>269300</v>
      </c>
      <c r="C9" s="94"/>
      <c r="D9" s="94">
        <f t="shared" si="3"/>
        <v>67325</v>
      </c>
      <c r="E9" s="94"/>
      <c r="F9" s="94">
        <f t="shared" si="0"/>
        <v>67325</v>
      </c>
      <c r="G9" s="94"/>
      <c r="H9" s="94">
        <f t="shared" si="1"/>
        <v>67325</v>
      </c>
      <c r="I9" s="94"/>
      <c r="J9" s="94">
        <f t="shared" si="2"/>
        <v>67325</v>
      </c>
    </row>
    <row r="10" spans="1:10" ht="15.75">
      <c r="A10" s="93" t="s">
        <v>3</v>
      </c>
      <c r="B10" s="224">
        <v>189500</v>
      </c>
      <c r="C10" s="94"/>
      <c r="D10" s="94">
        <f t="shared" si="3"/>
        <v>47375</v>
      </c>
      <c r="E10" s="94"/>
      <c r="F10" s="94">
        <f t="shared" si="0"/>
        <v>47375</v>
      </c>
      <c r="G10" s="94"/>
      <c r="H10" s="94">
        <f t="shared" si="1"/>
        <v>47375</v>
      </c>
      <c r="I10" s="94"/>
      <c r="J10" s="94">
        <f t="shared" si="2"/>
        <v>47375</v>
      </c>
    </row>
    <row r="11" spans="1:10" ht="15.75">
      <c r="A11" s="93" t="s">
        <v>29</v>
      </c>
      <c r="B11" s="224">
        <v>274800</v>
      </c>
      <c r="C11" s="94"/>
      <c r="D11" s="94">
        <f t="shared" si="3"/>
        <v>68700</v>
      </c>
      <c r="E11" s="94"/>
      <c r="F11" s="94">
        <f t="shared" si="0"/>
        <v>68700</v>
      </c>
      <c r="G11" s="94"/>
      <c r="H11" s="94">
        <f t="shared" si="1"/>
        <v>68700</v>
      </c>
      <c r="I11" s="94"/>
      <c r="J11" s="94">
        <f t="shared" si="2"/>
        <v>68700</v>
      </c>
    </row>
    <row r="12" spans="1:10" ht="15.75">
      <c r="A12" s="93" t="s">
        <v>4</v>
      </c>
      <c r="B12" s="224">
        <v>359700</v>
      </c>
      <c r="C12" s="94"/>
      <c r="D12" s="94">
        <f t="shared" si="3"/>
        <v>89925</v>
      </c>
      <c r="E12" s="94"/>
      <c r="F12" s="94">
        <f t="shared" si="0"/>
        <v>89925</v>
      </c>
      <c r="G12" s="94"/>
      <c r="H12" s="94">
        <f t="shared" si="1"/>
        <v>89925</v>
      </c>
      <c r="I12" s="94"/>
      <c r="J12" s="94">
        <f t="shared" si="2"/>
        <v>89925</v>
      </c>
    </row>
    <row r="13" spans="1:10" ht="15.75">
      <c r="A13" s="93" t="s">
        <v>5</v>
      </c>
      <c r="B13" s="224">
        <v>603700</v>
      </c>
      <c r="C13" s="94"/>
      <c r="D13" s="94">
        <f t="shared" si="3"/>
        <v>150925</v>
      </c>
      <c r="E13" s="94"/>
      <c r="F13" s="94">
        <f t="shared" si="0"/>
        <v>150925</v>
      </c>
      <c r="G13" s="94"/>
      <c r="H13" s="94">
        <f t="shared" si="1"/>
        <v>150925</v>
      </c>
      <c r="I13" s="94"/>
      <c r="J13" s="94">
        <f t="shared" si="2"/>
        <v>150925</v>
      </c>
    </row>
    <row r="14" spans="1:10" ht="15.75">
      <c r="A14" s="93" t="s">
        <v>6</v>
      </c>
      <c r="B14" s="224">
        <v>132500</v>
      </c>
      <c r="C14" s="94"/>
      <c r="D14" s="94">
        <f t="shared" si="3"/>
        <v>33125</v>
      </c>
      <c r="E14" s="94"/>
      <c r="F14" s="94">
        <f t="shared" si="0"/>
        <v>33125</v>
      </c>
      <c r="G14" s="94"/>
      <c r="H14" s="94">
        <f t="shared" si="1"/>
        <v>33125</v>
      </c>
      <c r="I14" s="94"/>
      <c r="J14" s="94">
        <f t="shared" si="2"/>
        <v>33125</v>
      </c>
    </row>
    <row r="15" spans="1:10" ht="15.75">
      <c r="A15" s="93" t="s">
        <v>7</v>
      </c>
      <c r="B15" s="224">
        <v>619300</v>
      </c>
      <c r="C15" s="94"/>
      <c r="D15" s="94">
        <f t="shared" si="3"/>
        <v>154825</v>
      </c>
      <c r="E15" s="94"/>
      <c r="F15" s="94">
        <f t="shared" si="0"/>
        <v>154825</v>
      </c>
      <c r="G15" s="94"/>
      <c r="H15" s="94">
        <f t="shared" si="1"/>
        <v>154825</v>
      </c>
      <c r="I15" s="94"/>
      <c r="J15" s="94">
        <f t="shared" si="2"/>
        <v>154825</v>
      </c>
    </row>
    <row r="16" spans="1:10" ht="15.75">
      <c r="A16" s="93" t="s">
        <v>8</v>
      </c>
      <c r="B16" s="224">
        <v>355300</v>
      </c>
      <c r="C16" s="94"/>
      <c r="D16" s="94">
        <f t="shared" si="3"/>
        <v>88825</v>
      </c>
      <c r="E16" s="94"/>
      <c r="F16" s="94">
        <f t="shared" si="0"/>
        <v>88825</v>
      </c>
      <c r="G16" s="94"/>
      <c r="H16" s="94">
        <f t="shared" si="1"/>
        <v>88825</v>
      </c>
      <c r="I16" s="94"/>
      <c r="J16" s="94">
        <f t="shared" si="2"/>
        <v>88825</v>
      </c>
    </row>
    <row r="17" spans="1:10" ht="15.75">
      <c r="A17" s="93" t="s">
        <v>9</v>
      </c>
      <c r="B17" s="224">
        <v>23500</v>
      </c>
      <c r="C17" s="94"/>
      <c r="D17" s="94">
        <f t="shared" si="3"/>
        <v>5875</v>
      </c>
      <c r="E17" s="94"/>
      <c r="F17" s="94">
        <f t="shared" si="0"/>
        <v>5875</v>
      </c>
      <c r="G17" s="94"/>
      <c r="H17" s="94">
        <f t="shared" si="1"/>
        <v>5875</v>
      </c>
      <c r="I17" s="94"/>
      <c r="J17" s="94">
        <f t="shared" si="2"/>
        <v>5875</v>
      </c>
    </row>
    <row r="18" spans="1:10" ht="15.75">
      <c r="A18" s="93" t="s">
        <v>10</v>
      </c>
      <c r="B18" s="224">
        <v>64300</v>
      </c>
      <c r="C18" s="94"/>
      <c r="D18" s="94">
        <f t="shared" si="3"/>
        <v>16075</v>
      </c>
      <c r="E18" s="94"/>
      <c r="F18" s="94">
        <f t="shared" si="0"/>
        <v>16075</v>
      </c>
      <c r="G18" s="94"/>
      <c r="H18" s="94">
        <f t="shared" si="1"/>
        <v>16075</v>
      </c>
      <c r="I18" s="94"/>
      <c r="J18" s="94">
        <f t="shared" si="2"/>
        <v>16075</v>
      </c>
    </row>
    <row r="19" spans="1:10" ht="15.75">
      <c r="A19" s="93" t="s">
        <v>11</v>
      </c>
      <c r="B19" s="224">
        <v>593000</v>
      </c>
      <c r="C19" s="94"/>
      <c r="D19" s="94">
        <f t="shared" si="3"/>
        <v>148250</v>
      </c>
      <c r="E19" s="94"/>
      <c r="F19" s="94">
        <f t="shared" si="0"/>
        <v>148250</v>
      </c>
      <c r="G19" s="94"/>
      <c r="H19" s="94">
        <f t="shared" si="1"/>
        <v>148250</v>
      </c>
      <c r="I19" s="94"/>
      <c r="J19" s="94">
        <f t="shared" si="2"/>
        <v>148250</v>
      </c>
    </row>
    <row r="20" spans="1:10" ht="15.75">
      <c r="A20" s="93" t="s">
        <v>12</v>
      </c>
      <c r="B20" s="224">
        <v>329700</v>
      </c>
      <c r="C20" s="94"/>
      <c r="D20" s="94">
        <f t="shared" si="3"/>
        <v>82425</v>
      </c>
      <c r="E20" s="94"/>
      <c r="F20" s="94">
        <f t="shared" si="0"/>
        <v>82425</v>
      </c>
      <c r="G20" s="94"/>
      <c r="H20" s="94">
        <f t="shared" si="1"/>
        <v>82425</v>
      </c>
      <c r="I20" s="94"/>
      <c r="J20" s="94">
        <f t="shared" si="2"/>
        <v>82425</v>
      </c>
    </row>
    <row r="21" spans="1:10" ht="15.75">
      <c r="A21" s="93" t="s">
        <v>13</v>
      </c>
      <c r="B21" s="224">
        <v>451000</v>
      </c>
      <c r="C21" s="94"/>
      <c r="D21" s="94">
        <f t="shared" si="3"/>
        <v>112750</v>
      </c>
      <c r="E21" s="94"/>
      <c r="F21" s="94">
        <f t="shared" si="0"/>
        <v>112750</v>
      </c>
      <c r="G21" s="94"/>
      <c r="H21" s="94">
        <f t="shared" si="1"/>
        <v>112750</v>
      </c>
      <c r="I21" s="94"/>
      <c r="J21" s="94">
        <f t="shared" si="2"/>
        <v>112750</v>
      </c>
    </row>
    <row r="22" spans="1:10" ht="15.75">
      <c r="A22" s="93" t="s">
        <v>14</v>
      </c>
      <c r="B22" s="224">
        <v>297900</v>
      </c>
      <c r="C22" s="94"/>
      <c r="D22" s="94">
        <f t="shared" si="3"/>
        <v>74475</v>
      </c>
      <c r="E22" s="94"/>
      <c r="F22" s="94">
        <f t="shared" si="0"/>
        <v>74475</v>
      </c>
      <c r="G22" s="94"/>
      <c r="H22" s="94">
        <f t="shared" si="1"/>
        <v>74475</v>
      </c>
      <c r="I22" s="94"/>
      <c r="J22" s="94">
        <f t="shared" si="2"/>
        <v>74475</v>
      </c>
    </row>
    <row r="23" spans="1:10" ht="15.75">
      <c r="A23" s="93" t="s">
        <v>15</v>
      </c>
      <c r="B23" s="224">
        <v>608200</v>
      </c>
      <c r="C23" s="94"/>
      <c r="D23" s="94">
        <f t="shared" si="3"/>
        <v>152050</v>
      </c>
      <c r="E23" s="94"/>
      <c r="F23" s="94">
        <f t="shared" si="0"/>
        <v>152050</v>
      </c>
      <c r="G23" s="94"/>
      <c r="H23" s="94">
        <f t="shared" si="1"/>
        <v>152050</v>
      </c>
      <c r="I23" s="94"/>
      <c r="J23" s="94">
        <f t="shared" si="2"/>
        <v>152050</v>
      </c>
    </row>
    <row r="24" spans="1:10" ht="15.75">
      <c r="A24" s="93" t="s">
        <v>16</v>
      </c>
      <c r="B24" s="224">
        <v>542400</v>
      </c>
      <c r="C24" s="94"/>
      <c r="D24" s="94">
        <f t="shared" si="3"/>
        <v>135600</v>
      </c>
      <c r="E24" s="94"/>
      <c r="F24" s="94">
        <f t="shared" si="0"/>
        <v>135600</v>
      </c>
      <c r="G24" s="94"/>
      <c r="H24" s="94">
        <f t="shared" si="1"/>
        <v>135600</v>
      </c>
      <c r="I24" s="94"/>
      <c r="J24" s="94">
        <f t="shared" si="2"/>
        <v>135600</v>
      </c>
    </row>
    <row r="25" spans="1:10" ht="15.75">
      <c r="A25" s="93" t="s">
        <v>17</v>
      </c>
      <c r="B25" s="224">
        <v>538500</v>
      </c>
      <c r="C25" s="94"/>
      <c r="D25" s="94">
        <f t="shared" si="3"/>
        <v>134625</v>
      </c>
      <c r="E25" s="94"/>
      <c r="F25" s="94">
        <f t="shared" si="0"/>
        <v>134625</v>
      </c>
      <c r="G25" s="94"/>
      <c r="H25" s="94">
        <f t="shared" si="1"/>
        <v>134625</v>
      </c>
      <c r="I25" s="94"/>
      <c r="J25" s="94">
        <f t="shared" si="2"/>
        <v>134625</v>
      </c>
    </row>
    <row r="26" spans="1:10" ht="15.75">
      <c r="A26" s="93" t="s">
        <v>18</v>
      </c>
      <c r="B26" s="224">
        <v>398000</v>
      </c>
      <c r="C26" s="94"/>
      <c r="D26" s="94">
        <f t="shared" si="3"/>
        <v>99500</v>
      </c>
      <c r="E26" s="94"/>
      <c r="F26" s="94">
        <f t="shared" si="0"/>
        <v>99500</v>
      </c>
      <c r="G26" s="94"/>
      <c r="H26" s="94">
        <f t="shared" si="1"/>
        <v>99500</v>
      </c>
      <c r="I26" s="94"/>
      <c r="J26" s="94">
        <f t="shared" si="2"/>
        <v>99500</v>
      </c>
    </row>
    <row r="27" spans="1:10" ht="15.75">
      <c r="A27" s="93" t="s">
        <v>19</v>
      </c>
      <c r="B27" s="224">
        <v>145600</v>
      </c>
      <c r="C27" s="94"/>
      <c r="D27" s="94">
        <f t="shared" si="3"/>
        <v>36400</v>
      </c>
      <c r="E27" s="94"/>
      <c r="F27" s="94">
        <f t="shared" si="0"/>
        <v>36400</v>
      </c>
      <c r="G27" s="94"/>
      <c r="H27" s="94">
        <f t="shared" si="1"/>
        <v>36400</v>
      </c>
      <c r="I27" s="94"/>
      <c r="J27" s="94">
        <f t="shared" si="2"/>
        <v>36400</v>
      </c>
    </row>
    <row r="28" spans="1:10" ht="15.75">
      <c r="A28" s="93" t="s">
        <v>20</v>
      </c>
      <c r="B28" s="224">
        <v>132500</v>
      </c>
      <c r="C28" s="94"/>
      <c r="D28" s="94">
        <f t="shared" si="3"/>
        <v>33125</v>
      </c>
      <c r="E28" s="94"/>
      <c r="F28" s="94">
        <f t="shared" si="0"/>
        <v>33125</v>
      </c>
      <c r="G28" s="94"/>
      <c r="H28" s="94">
        <f t="shared" si="1"/>
        <v>33125</v>
      </c>
      <c r="I28" s="94"/>
      <c r="J28" s="94">
        <f t="shared" si="2"/>
        <v>33125</v>
      </c>
    </row>
    <row r="29" spans="1:10" ht="15.75">
      <c r="A29" s="93" t="s">
        <v>21</v>
      </c>
      <c r="B29" s="225">
        <v>133100</v>
      </c>
      <c r="C29" s="94"/>
      <c r="D29" s="95">
        <f t="shared" si="3"/>
        <v>33275</v>
      </c>
      <c r="E29" s="94"/>
      <c r="F29" s="95">
        <f t="shared" si="0"/>
        <v>33275</v>
      </c>
      <c r="G29" s="94"/>
      <c r="H29" s="95">
        <f t="shared" si="1"/>
        <v>33275</v>
      </c>
      <c r="I29" s="94"/>
      <c r="J29" s="95">
        <f t="shared" si="2"/>
        <v>33275</v>
      </c>
    </row>
    <row r="30" spans="1:9" ht="9" customHeight="1">
      <c r="A30" s="93"/>
      <c r="B30" s="222"/>
      <c r="D30" s="85"/>
      <c r="E30" s="85"/>
      <c r="F30" s="85"/>
      <c r="G30" s="85"/>
      <c r="H30" s="85"/>
      <c r="I30" s="85"/>
    </row>
    <row r="31" spans="1:10" s="97" customFormat="1" ht="15.75">
      <c r="A31" s="96" t="s">
        <v>39</v>
      </c>
      <c r="B31" s="226">
        <f>SUM(B7:B29)</f>
        <v>7239500</v>
      </c>
      <c r="C31" s="96"/>
      <c r="D31" s="96">
        <f>SUM(D7:D30)</f>
        <v>1809875</v>
      </c>
      <c r="E31" s="96"/>
      <c r="F31" s="96">
        <f>SUM(F7:F30)</f>
        <v>1809875</v>
      </c>
      <c r="G31" s="96"/>
      <c r="H31" s="96">
        <f>SUM(H7:H30)</f>
        <v>1809875</v>
      </c>
      <c r="I31" s="96"/>
      <c r="J31" s="96">
        <f>SUM(J7:J30)</f>
        <v>1809875</v>
      </c>
    </row>
    <row r="32" spans="1:14" ht="15.75">
      <c r="A32" s="93"/>
      <c r="B32" s="85"/>
      <c r="D32" s="85"/>
      <c r="E32" s="85"/>
      <c r="F32" s="85"/>
      <c r="G32" s="85"/>
      <c r="H32" s="85"/>
      <c r="I32" s="85"/>
      <c r="L32" s="114"/>
      <c r="M32" s="114"/>
      <c r="N32" s="114"/>
    </row>
    <row r="33" spans="12:14" ht="15.75">
      <c r="L33" s="115"/>
      <c r="M33" s="115"/>
      <c r="N33" s="115"/>
    </row>
    <row r="34" spans="1:10" ht="49.5" customHeight="1">
      <c r="A34" s="590" t="s">
        <v>119</v>
      </c>
      <c r="B34" s="591"/>
      <c r="C34" s="591"/>
      <c r="D34" s="591"/>
      <c r="E34" s="591"/>
      <c r="F34" s="591"/>
      <c r="G34" s="591"/>
      <c r="H34" s="591"/>
      <c r="I34" s="591"/>
      <c r="J34" s="591"/>
    </row>
    <row r="35" spans="1:10" ht="30.75" customHeight="1">
      <c r="A35" s="592" t="s">
        <v>48</v>
      </c>
      <c r="B35" s="592"/>
      <c r="C35" s="592"/>
      <c r="D35" s="592"/>
      <c r="E35" s="592"/>
      <c r="F35" s="592"/>
      <c r="G35" s="592"/>
      <c r="H35" s="592"/>
      <c r="I35" s="592"/>
      <c r="J35" s="592"/>
    </row>
  </sheetData>
  <sheetProtection/>
  <mergeCells count="3">
    <mergeCell ref="D4:J4"/>
    <mergeCell ref="A34:J34"/>
    <mergeCell ref="A35:J35"/>
  </mergeCells>
  <printOptions/>
  <pageMargins left="0.75" right="0.5" top="0.5" bottom="0.5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Kemsley, Chris</cp:lastModifiedBy>
  <cp:lastPrinted>2010-10-22T22:30:46Z</cp:lastPrinted>
  <dcterms:created xsi:type="dcterms:W3CDTF">2005-01-20T22:46:37Z</dcterms:created>
  <dcterms:modified xsi:type="dcterms:W3CDTF">2018-11-15T22:23:22Z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d7c02b6b-f9f3-4735-8362-3e9003918819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72WVDYXX2UNK-1717399031-163</vt:lpwstr>
  </property>
  <property fmtid="{D5CDD505-2E9C-101B-9397-08002B2CF9AE}" pid="7" name="_dlc_DocIdUrl">
    <vt:lpwstr>https://update.calstate.edu/csu-system/about-the-csu/budget/_layouts/15/DocIdRedir.aspx?ID=72WVDYXX2UNK-1717399031-163, 72WVDYXX2UNK-1717399031-163</vt:lpwstr>
  </property>
</Properties>
</file>