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570" windowHeight="9855" tabRatio="569" activeTab="0"/>
  </bookViews>
  <sheets>
    <sheet name="(A) Budget Summary" sheetId="1" r:id="rId1"/>
    <sheet name="(B) Base Bud Adj" sheetId="2" r:id="rId2"/>
    <sheet name="(C) 12-13 Expenditure Adjust." sheetId="3" r:id="rId3"/>
    <sheet name="(D) Tuition Revenue" sheetId="4" r:id="rId4"/>
    <sheet name="(E) SUG " sheetId="5" r:id="rId5"/>
  </sheets>
  <definedNames>
    <definedName name="_xlnm.Print_Area" localSheetId="0">'(A) Budget Summary'!$A$1:$U$46</definedName>
    <definedName name="_xlnm.Print_Area" localSheetId="1">'(B) Base Bud Adj'!$A$1:$AA$47</definedName>
    <definedName name="_xlnm.Print_Area" localSheetId="2">'(C) 12-13 Expenditure Adjust.'!$A$1:$Z$42</definedName>
    <definedName name="_xlnm.Print_Area" localSheetId="3">'(D) Tuition Revenue'!$A$1:$U$45</definedName>
    <definedName name="_xlnm.Print_Area" localSheetId="4">'(E) SUG '!$A$1:$M$34</definedName>
    <definedName name="_xlnm.Print_Titles" localSheetId="3">'(D) Tuition Revenue'!$A:$A,'(D) Tuition Revenue'!$1:$4</definedName>
  </definedNames>
  <calcPr fullCalcOnLoad="1"/>
</workbook>
</file>

<file path=xl/comments4.xml><?xml version="1.0" encoding="utf-8"?>
<comments xmlns="http://schemas.openxmlformats.org/spreadsheetml/2006/main">
  <authors>
    <author>Canfield, Chris</author>
  </authors>
  <commentList>
    <comment ref="R8" authorId="0">
      <text>
        <r>
          <rPr>
            <b/>
            <sz val="9"/>
            <rFont val="Tahoma"/>
            <family val="2"/>
          </rPr>
          <t>Canfield, Chris:</t>
        </r>
        <r>
          <rPr>
            <sz val="9"/>
            <rFont val="Tahoma"/>
            <family val="2"/>
          </rPr>
          <t xml:space="preserve">
-1000 for rounding</t>
        </r>
      </text>
    </comment>
  </commentList>
</comments>
</file>

<file path=xl/sharedStrings.xml><?xml version="1.0" encoding="utf-8"?>
<sst xmlns="http://schemas.openxmlformats.org/spreadsheetml/2006/main" count="313" uniqueCount="194">
  <si>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</si>
  <si>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</si>
  <si>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</si>
  <si>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</si>
  <si>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</si>
  <si>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</si>
  <si>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</si>
  <si>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</si>
  <si>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</si>
  <si>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</si>
  <si>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</si>
  <si>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</si>
  <si>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</si>
  <si>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</si>
  <si>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</si>
  <si>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</si>
  <si>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</si>
  <si>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</si>
  <si>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</si>
  <si>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</si>
  <si>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</si>
  <si>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</si>
  <si>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</si>
  <si>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</si>
  <si>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</si>
  <si>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</si>
  <si>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</si>
  <si>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</si>
  <si>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East Bay</t>
  </si>
  <si>
    <t>CalStateTeach</t>
  </si>
  <si>
    <t>Energy</t>
  </si>
  <si>
    <t>Health</t>
  </si>
  <si>
    <t>Campus</t>
  </si>
  <si>
    <t>(Sum Cols. 1-3)</t>
  </si>
  <si>
    <t>Unadjusted Other Fee Revenue and Reim.</t>
  </si>
  <si>
    <t>Grand Total</t>
  </si>
  <si>
    <t>Sub-Totals</t>
  </si>
  <si>
    <t>Change in Student Enrollment Patterns</t>
  </si>
  <si>
    <t>$</t>
  </si>
  <si>
    <t>%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</si>
  <si>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</si>
  <si>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</si>
  <si>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</si>
  <si>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</si>
  <si>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</si>
  <si>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</si>
  <si>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</si>
  <si>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</si>
  <si>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</si>
  <si>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</si>
  <si>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</si>
  <si>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</si>
  <si>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</si>
  <si>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</si>
  <si>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</si>
  <si>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</si>
  <si>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</si>
  <si>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</si>
  <si>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</si>
  <si>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t>TOTALS</t>
  </si>
  <si>
    <t>(Cols. 2 - 1)</t>
  </si>
  <si>
    <t>(a)</t>
  </si>
  <si>
    <t>General Fund</t>
  </si>
  <si>
    <t>GF Base Adjustments</t>
  </si>
  <si>
    <t>Tuition</t>
  </si>
  <si>
    <r>
      <t xml:space="preserve">Change in Student Enrollment Patterns </t>
    </r>
    <r>
      <rPr>
        <vertAlign val="superscript"/>
        <sz val="10"/>
        <rFont val="Times New Roman"/>
        <family val="1"/>
      </rPr>
      <t>2</t>
    </r>
  </si>
  <si>
    <t>(=Col. 3)</t>
  </si>
  <si>
    <t>Campus Reported Tuition Fee Revenue</t>
  </si>
  <si>
    <t>Tuition Fee Revenue</t>
  </si>
  <si>
    <t>Nonresident Students</t>
  </si>
  <si>
    <t>Tuition Fee Revenue Financial Aid Set-Aside</t>
  </si>
  <si>
    <t>ATTACHMENT A - 2012/13 Governor's Budget Allocations, Gross Budget Summary</t>
  </si>
  <si>
    <t xml:space="preserve">ATTACHMENT B - 2012/13 Governor's Budget Allocation Base Adjustments </t>
  </si>
  <si>
    <t>2011/12 FIRMS Final Budget Detail</t>
  </si>
  <si>
    <t>2012/13 CSU Governor's Budget Allocation Totals</t>
  </si>
  <si>
    <t>2012/13 Budget Adjustments</t>
  </si>
  <si>
    <t>2012/13 Tuition Revenue Adjustment</t>
  </si>
  <si>
    <t>2012/13 General Fund Base Adjustments</t>
  </si>
  <si>
    <t xml:space="preserve">(b) </t>
  </si>
  <si>
    <t>(c)</t>
  </si>
  <si>
    <t>(Sum Cols. a-c)</t>
  </si>
  <si>
    <t>One-Third Financial Aid Set-Aside on Revenue from Rate Increase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</si>
  <si>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 xml:space="preserve">Represents change in actual student enrollment patterns from 2009/10 to 2010/11 (past-year actual). </t>
    </r>
  </si>
  <si>
    <t>Adjustments in SUG Set-Aside from Summer Tuition Fee Rate Changes</t>
  </si>
  <si>
    <t xml:space="preserve">Adjustments in SUG Set-Aside from Summer Tuition Fee Rate Change </t>
  </si>
  <si>
    <t>B 2011-02 Final Budget Allocations</t>
  </si>
  <si>
    <t>SUG Academic Year (AY) Eligibility Based on 2010/11 Final Database With 2012/13 Fee Levels</t>
  </si>
  <si>
    <t>SUG AY Eligibility Further Adjusted to Reflect Funded Enrollment Targets from 2010/11 to 2012/13</t>
  </si>
  <si>
    <t>(6)</t>
  </si>
  <si>
    <t>2011/12 Tuition Fee Rate Change Applied to Summer Term</t>
  </si>
  <si>
    <t>Adjustments in SUG Set-Aside from Summer Tuition Fee Rate Change</t>
  </si>
  <si>
    <t>(4)</t>
  </si>
  <si>
    <t>(5)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</si>
  <si>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</si>
  <si>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</si>
  <si>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</si>
  <si>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</si>
  <si>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</si>
  <si>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</si>
  <si>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</si>
  <si>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</si>
  <si>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</si>
  <si>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</si>
  <si>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</si>
  <si>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</si>
  <si>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r>
      <t xml:space="preserve">2012/13 Non-Resident FTES </t>
    </r>
    <r>
      <rPr>
        <vertAlign val="superscript"/>
        <sz val="10"/>
        <rFont val="Times New Roman"/>
        <family val="1"/>
      </rPr>
      <t>1</t>
    </r>
  </si>
  <si>
    <r>
      <t xml:space="preserve">2012/13 Resident FTES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</si>
  <si>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For purposes of 2012/13 budget allocations, there is no change in number of resident full-time equivalent students from 2011/12 budget targets.  The nonresident FTES is equal to the 2010/11 actual FTES.</t>
    </r>
  </si>
  <si>
    <t>Resident Students</t>
  </si>
  <si>
    <t>-1/3rd of Col. 2</t>
  </si>
  <si>
    <t>-1/3rd of Col. 4</t>
  </si>
  <si>
    <t>-1/3rd of Col. 7</t>
  </si>
  <si>
    <t>Cols. 1 + 6</t>
  </si>
  <si>
    <t>Cols. 2 + 7</t>
  </si>
  <si>
    <t>Cols. 4 + 9</t>
  </si>
  <si>
    <t>Cols. 5 + 10</t>
  </si>
  <si>
    <t>Cols. 3 + 8</t>
  </si>
  <si>
    <t>Cols. 13 + 15</t>
  </si>
  <si>
    <t>Cols. 11 + 12 + 14</t>
  </si>
  <si>
    <t>Cols. 16 + 17</t>
  </si>
  <si>
    <t>Campus Reported Gross                              Final Budget</t>
  </si>
  <si>
    <t>(Continued)</t>
  </si>
  <si>
    <t>Total Mandatory Cost Increases</t>
  </si>
  <si>
    <t>Reserve for Trigger</t>
  </si>
  <si>
    <t>Provision for Debt Service</t>
  </si>
  <si>
    <t xml:space="preserve">ATTACHMENT C - 2012/13 Governor's Budget Allocation, General Fund Expenditure Adjustments </t>
  </si>
  <si>
    <t>(Attach. D, Col. 16)</t>
  </si>
  <si>
    <t>(Cols. 1 + 5 + 6)</t>
  </si>
  <si>
    <t>(Cols. 2 + 7)</t>
  </si>
  <si>
    <t xml:space="preserve">ATTACHMENT E - 2012/13 Governor's Budget Allocations, State University Grant (SUG) Adjustment </t>
  </si>
  <si>
    <t>ATTACHMENT D -- 2012/13 Governor's Budget Allocations, Tuition Fee Revenue Adjustments</t>
  </si>
  <si>
    <t>(Attach. E, Col. 2)</t>
  </si>
  <si>
    <r>
      <t xml:space="preserve">2012/13 Projected Mandatory Cost Increases 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</si>
  <si>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Mandatory cost increases provided for information only in 2012/13 Governor's budget allocations.  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</si>
  <si>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Based on 2012/13 new space need only @ $10.02 per square foot. </t>
    </r>
  </si>
  <si>
    <t>(Attach. E / Col. 3)</t>
  </si>
  <si>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Represents the provision to shift general obligation bond debt service into CSU's budget ($189,775,000).</t>
    </r>
  </si>
  <si>
    <r>
      <t>2012/13 Gross Budget Allocation</t>
    </r>
  </si>
  <si>
    <t>(Sum Cols. 8-10)</t>
  </si>
  <si>
    <t>2011/12 $100M Mid-Year GF Trigger Reduction</t>
  </si>
  <si>
    <t>(Attach. D / Col. 17)</t>
  </si>
  <si>
    <r>
      <t xml:space="preserve">New Space Need </t>
    </r>
    <r>
      <rPr>
        <vertAlign val="superscript"/>
        <sz val="11"/>
        <color indexed="8"/>
        <rFont val="Times New Roman"/>
        <family val="1"/>
      </rPr>
      <t>2</t>
    </r>
  </si>
  <si>
    <r>
      <t>Other Fee Revenue and SWP Reim.</t>
    </r>
    <r>
      <rPr>
        <vertAlign val="superscript"/>
        <sz val="11"/>
        <rFont val="Times New Roman"/>
        <family val="1"/>
      </rPr>
      <t>1</t>
    </r>
  </si>
  <si>
    <r>
      <t xml:space="preserve">General Fund Allocation </t>
    </r>
  </si>
  <si>
    <r>
      <t xml:space="preserve">2011/12 Retirement Adjustment </t>
    </r>
    <r>
      <rPr>
        <vertAlign val="superscript"/>
        <sz val="11"/>
        <rFont val="Times New Roman"/>
        <family val="1"/>
      </rPr>
      <t>1</t>
    </r>
  </si>
  <si>
    <r>
      <t xml:space="preserve">Campus Operating Revenue Interest Assessment </t>
    </r>
    <r>
      <rPr>
        <vertAlign val="superscript"/>
        <sz val="11"/>
        <rFont val="Times New Roman"/>
        <family val="1"/>
      </rPr>
      <t>4</t>
    </r>
  </si>
  <si>
    <t>2012/13 Tuition Fee Rate Change (BOT RFIN 11-11-14) Applied to Academic Year</t>
  </si>
  <si>
    <t>Revised 2011/12 General Fund Base</t>
  </si>
  <si>
    <t>(Cols. 1 + 2 + 3)</t>
  </si>
  <si>
    <t>2012/13 Tuition and Other Fee Revenue</t>
  </si>
  <si>
    <t>(Attach. A, Cols. 9 + 10)</t>
  </si>
  <si>
    <t>(Cols. 2 + 3 + 5 + 6)</t>
  </si>
  <si>
    <t>(Attach. B, Col. 8)</t>
  </si>
  <si>
    <t>$200 Million Trigger Reduction</t>
  </si>
  <si>
    <t>2012/13 SUG Adjustments</t>
  </si>
  <si>
    <t>GF Expenditure Adjustments</t>
  </si>
  <si>
    <t>(Attach. B, Col. 7)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</si>
  <si>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Campus 2011/12 CalPERS employer-paid retirement rate adjustments reflect the difference between the 2010/11 composite (July 2010 &amp; Jan. 2011) rates funded by the state during 2010/11 and the new 2011/12 rates; the additional SWP adjustment reconciles the applicable CSU 2011/12 GF appropriation that was based upon the difference between the higher July 2010 rates applied to the full year and the new 2011/12 rates. </t>
    </r>
  </si>
  <si>
    <t>(2)</t>
  </si>
  <si>
    <r>
      <t>Financial Aid / SUG Distribution Based on Need</t>
    </r>
    <r>
      <rPr>
        <sz val="11"/>
        <color indexed="10"/>
        <rFont val="Times New Roman"/>
        <family val="1"/>
      </rPr>
      <t xml:space="preserve"> </t>
    </r>
  </si>
  <si>
    <r>
      <t xml:space="preserve">2012/13 General Fund Base </t>
    </r>
    <r>
      <rPr>
        <sz val="8"/>
        <color indexed="8"/>
        <rFont val="Times New Roman"/>
        <family val="1"/>
      </rPr>
      <t>(</t>
    </r>
    <r>
      <rPr>
        <u val="single"/>
        <sz val="8"/>
        <color indexed="8"/>
        <rFont val="Times New Roman"/>
        <family val="1"/>
      </rPr>
      <t>before</t>
    </r>
    <r>
      <rPr>
        <sz val="8"/>
        <color indexed="8"/>
        <rFont val="Times New Roman"/>
        <family val="1"/>
      </rPr>
      <t xml:space="preserve"> SUG Adjustment and $200M trigger reduction) </t>
    </r>
  </si>
  <si>
    <t>(3)</t>
  </si>
  <si>
    <t>Cols. 1 + 2 + 3</t>
  </si>
  <si>
    <r>
      <t xml:space="preserve">2012/13 General Fund Base </t>
    </r>
    <r>
      <rPr>
        <sz val="8"/>
        <color indexed="8"/>
        <rFont val="Times New Roman"/>
        <family val="1"/>
      </rPr>
      <t>(</t>
    </r>
    <r>
      <rPr>
        <u val="single"/>
        <sz val="8"/>
        <color indexed="8"/>
        <rFont val="Times New Roman"/>
        <family val="1"/>
      </rPr>
      <t>after</t>
    </r>
    <r>
      <rPr>
        <sz val="8"/>
        <color indexed="8"/>
        <rFont val="Times New Roman"/>
        <family val="1"/>
      </rPr>
      <t xml:space="preserve"> SUG Adjustment and </t>
    </r>
    <r>
      <rPr>
        <u val="single"/>
        <sz val="8"/>
        <color indexed="8"/>
        <rFont val="Times New Roman"/>
        <family val="1"/>
      </rPr>
      <t>before</t>
    </r>
    <r>
      <rPr>
        <sz val="8"/>
        <color indexed="8"/>
        <rFont val="Times New Roman"/>
        <family val="1"/>
      </rPr>
      <t xml:space="preserve"> $200M trigger reduction) </t>
    </r>
  </si>
  <si>
    <r>
      <t xml:space="preserve">2012/13 Gross Budget </t>
    </r>
    <r>
      <rPr>
        <sz val="9"/>
        <color indexed="8"/>
        <rFont val="Times New Roman"/>
        <family val="1"/>
      </rPr>
      <t xml:space="preserve">(prior to $200M trigger reduction) </t>
    </r>
  </si>
  <si>
    <t>(Cols. 4 + 5)</t>
  </si>
  <si>
    <t>2012/13 Total SUG Distributed</t>
  </si>
  <si>
    <t>(Cols. 6 - 7)</t>
  </si>
  <si>
    <t>2012/13 SUG Adjustment based on 331,716 Resident FTES with Revenue from Tuition Fee Rate Adjustments</t>
  </si>
  <si>
    <t>B 2012-01 Allocations Total SUG Funding Available / 100% Distributed Based on Need</t>
  </si>
  <si>
    <t>B 2012-01 Allocations SUG Increase</t>
  </si>
  <si>
    <t>Campus % of Col. 8</t>
  </si>
  <si>
    <t>(Col. 9 * $200M)</t>
  </si>
  <si>
    <r>
      <t xml:space="preserve">2012/13 General Fund Base </t>
    </r>
    <r>
      <rPr>
        <sz val="8"/>
        <color indexed="8"/>
        <rFont val="Times New Roman"/>
        <family val="1"/>
      </rPr>
      <t>(</t>
    </r>
    <r>
      <rPr>
        <u val="single"/>
        <sz val="8"/>
        <color indexed="8"/>
        <rFont val="Times New Roman"/>
        <family val="1"/>
      </rPr>
      <t>after</t>
    </r>
    <r>
      <rPr>
        <sz val="8"/>
        <color indexed="8"/>
        <rFont val="Times New Roman"/>
        <family val="1"/>
      </rPr>
      <t xml:space="preserve"> SUG Adjustment and $200M trigger reduction) </t>
    </r>
  </si>
  <si>
    <t>Total GF Expenditure Adjustments</t>
  </si>
  <si>
    <t>(Cols. 2 + 3 + 10)</t>
  </si>
  <si>
    <t>(Cols. 1 + 11)</t>
  </si>
  <si>
    <t>(Attach. C, Col. 11)</t>
  </si>
  <si>
    <t>Coded Memo B 2012-01, February 10, 2012</t>
  </si>
  <si>
    <t>(Cols. 1 + 7)</t>
  </si>
  <si>
    <t>For Information Only</t>
  </si>
  <si>
    <t xml:space="preserve">2012/13 Gross Budget Less SUG </t>
  </si>
  <si>
    <t>B 12-01 2012/13 Tuition Fee Revenue Adjustment - before Financial Aid Set-Aside</t>
  </si>
  <si>
    <t>B 12-01 Financial Aid Set-Aside</t>
  </si>
  <si>
    <t>B 12-01 2012/13 Tuition Fee Revenue Adjustment - Net of Financial Aid</t>
  </si>
  <si>
    <t>Other Base Adjustments</t>
  </si>
  <si>
    <t>2011/12 B 2011-01 General Fund Allocation</t>
  </si>
  <si>
    <t>B 2011-02 General Fund Allocation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</si>
  <si>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The total CSU 2012/13 assessment ($2,217,000) represents a $1.31M adjustment to the 2011/12 $3.53M level. The campus base budget adjustments will replace the previous CPO quarterly assessments in 2012/13.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</si>
  <si>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Includes lease revenue bond adjustments (-$50,000 in 2011/12; $5,545,000 in 2012/13); annuitants' dental adjustment ($1,096,000), and offset of funding restoration (-$2,372,800). </t>
    </r>
  </si>
  <si>
    <t>-1/3rd of Col. 9</t>
  </si>
  <si>
    <t>*</t>
  </si>
  <si>
    <t>CalStateTeach and Summer Arts updated on February, 14, 2012</t>
  </si>
  <si>
    <t>Represents other CSU Operating Fund fee revenue besides tuition fee; the only reimbursement shown is lease revenue bond payments in SWPs.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</si>
</sst>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0.00000%"/>
    <numFmt numFmtId="168" formatCode="0.000%"/>
  </numFmts>
  <fonts count="10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0"/>
      <name val="Times New Roman"/>
      <family val="1"/>
    </font>
    <font>
      <vertAlign val="superscript"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37" fontId="3" fillId="0" borderId="0" xfId="0" applyNumberFormat="1" applyFont="1" applyFill="1" applyAlignment="1">
      <alignment/>
    </xf>
    <xf numFmtId="37" fontId="2" fillId="0" borderId="1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center" vertical="center" wrapText="1"/>
    </xf>
    <xf numFmtId="37" fontId="5" fillId="0" borderId="0" xfId="0" applyNumberFormat="1" applyFont="1" applyFill="1" applyBorder="1" applyAlignment="1">
      <alignment horizontal="center" vertical="center" wrapText="1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Alignment="1">
      <alignment/>
    </xf>
    <xf numFmtId="37" fontId="10" fillId="0" borderId="11" xfId="0" applyNumberFormat="1" applyFont="1" applyFill="1" applyBorder="1" applyAlignment="1">
      <alignment horizontal="center" wrapText="1"/>
    </xf>
    <xf numFmtId="37" fontId="10" fillId="0" borderId="0" xfId="0" applyNumberFormat="1" applyFont="1" applyFill="1" applyBorder="1" applyAlignment="1">
      <alignment horizontal="center" wrapText="1"/>
    </xf>
    <xf numFmtId="37" fontId="2" fillId="0" borderId="10" xfId="0" applyNumberFormat="1" applyFont="1" applyFill="1" applyBorder="1" applyAlignment="1">
      <alignment vertical="center"/>
    </xf>
    <xf numFmtId="5" fontId="9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 vertical="top"/>
    </xf>
    <xf numFmtId="37" fontId="8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Alignment="1">
      <alignment horizontal="center"/>
    </xf>
    <xf numFmtId="37" fontId="85" fillId="0" borderId="0" xfId="0" applyNumberFormat="1" applyFont="1" applyFill="1" applyAlignment="1">
      <alignment/>
    </xf>
    <xf numFmtId="37" fontId="14" fillId="0" borderId="0" xfId="0" applyNumberFormat="1" applyFont="1" applyFill="1" applyAlignment="1" quotePrefix="1">
      <alignment horizontal="right"/>
    </xf>
    <xf numFmtId="37" fontId="86" fillId="0" borderId="0" xfId="0" applyNumberFormat="1" applyFont="1" applyFill="1" applyAlignment="1">
      <alignment/>
    </xf>
    <xf numFmtId="37" fontId="3" fillId="0" borderId="0" xfId="73" applyNumberFormat="1" applyFont="1" applyFill="1" applyBorder="1" applyAlignment="1">
      <alignment horizontal="center" vertical="center"/>
      <protection/>
    </xf>
    <xf numFmtId="0" fontId="85" fillId="0" borderId="0" xfId="73" applyFont="1" applyFill="1" applyBorder="1" applyAlignment="1">
      <alignment/>
      <protection/>
    </xf>
    <xf numFmtId="0" fontId="87" fillId="0" borderId="0" xfId="73" applyFont="1" applyFill="1" applyBorder="1">
      <alignment/>
      <protection/>
    </xf>
    <xf numFmtId="0" fontId="87" fillId="0" borderId="0" xfId="73" applyFont="1" applyFill="1" applyBorder="1" applyAlignment="1">
      <alignment horizontal="center"/>
      <protection/>
    </xf>
    <xf numFmtId="37" fontId="88" fillId="0" borderId="0" xfId="73" applyNumberFormat="1" applyFont="1" applyFill="1" applyBorder="1" applyAlignment="1">
      <alignment horizontal="center"/>
      <protection/>
    </xf>
    <xf numFmtId="0" fontId="87" fillId="0" borderId="12" xfId="73" applyFont="1" applyFill="1" applyBorder="1">
      <alignment/>
      <protection/>
    </xf>
    <xf numFmtId="0" fontId="87" fillId="0" borderId="13" xfId="73" applyFont="1" applyFill="1" applyBorder="1">
      <alignment/>
      <protection/>
    </xf>
    <xf numFmtId="0" fontId="87" fillId="0" borderId="14" xfId="73" applyFont="1" applyFill="1" applyBorder="1" applyAlignment="1">
      <alignment horizontal="center" wrapText="1"/>
      <protection/>
    </xf>
    <xf numFmtId="0" fontId="89" fillId="0" borderId="10" xfId="73" applyFont="1" applyFill="1" applyBorder="1" applyAlignment="1">
      <alignment/>
      <protection/>
    </xf>
    <xf numFmtId="0" fontId="87" fillId="0" borderId="0" xfId="73" applyFont="1" applyFill="1" applyBorder="1" applyAlignment="1">
      <alignment/>
      <protection/>
    </xf>
    <xf numFmtId="0" fontId="89" fillId="0" borderId="0" xfId="73" applyFont="1" applyFill="1" applyBorder="1" applyAlignment="1">
      <alignment/>
      <protection/>
    </xf>
    <xf numFmtId="0" fontId="89" fillId="0" borderId="0" xfId="73" applyFont="1" applyFill="1" applyBorder="1">
      <alignment/>
      <protection/>
    </xf>
    <xf numFmtId="0" fontId="89" fillId="0" borderId="0" xfId="73" applyFont="1" applyFill="1" applyBorder="1" applyAlignment="1">
      <alignment horizontal="center"/>
      <protection/>
    </xf>
    <xf numFmtId="0" fontId="89" fillId="0" borderId="15" xfId="73" applyFont="1" applyFill="1" applyBorder="1" applyAlignment="1">
      <alignment horizontal="center"/>
      <protection/>
    </xf>
    <xf numFmtId="0" fontId="89" fillId="0" borderId="16" xfId="73" applyFont="1" applyFill="1" applyBorder="1" applyAlignment="1">
      <alignment horizontal="center"/>
      <protection/>
    </xf>
    <xf numFmtId="0" fontId="87" fillId="0" borderId="16" xfId="73" applyFont="1" applyFill="1" applyBorder="1">
      <alignment/>
      <protection/>
    </xf>
    <xf numFmtId="0" fontId="89" fillId="0" borderId="15" xfId="73" applyFont="1" applyFill="1" applyBorder="1">
      <alignment/>
      <protection/>
    </xf>
    <xf numFmtId="0" fontId="89" fillId="0" borderId="15" xfId="73" applyFont="1" applyFill="1" applyBorder="1" applyAlignment="1" quotePrefix="1">
      <alignment horizontal="center"/>
      <protection/>
    </xf>
    <xf numFmtId="165" fontId="89" fillId="0" borderId="15" xfId="73" applyNumberFormat="1" applyFont="1" applyFill="1" applyBorder="1">
      <alignment/>
      <protection/>
    </xf>
    <xf numFmtId="167" fontId="89" fillId="0" borderId="16" xfId="73" applyNumberFormat="1" applyFont="1" applyFill="1" applyBorder="1" applyAlignment="1">
      <alignment horizontal="center"/>
      <protection/>
    </xf>
    <xf numFmtId="5" fontId="89" fillId="0" borderId="15" xfId="73" applyNumberFormat="1" applyFont="1" applyFill="1" applyBorder="1">
      <alignment/>
      <protection/>
    </xf>
    <xf numFmtId="167" fontId="89" fillId="0" borderId="0" xfId="73" applyNumberFormat="1" applyFont="1" applyFill="1" applyBorder="1" applyAlignment="1">
      <alignment horizontal="center"/>
      <protection/>
    </xf>
    <xf numFmtId="167" fontId="89" fillId="0" borderId="15" xfId="73" applyNumberFormat="1" applyFont="1" applyFill="1" applyBorder="1" applyAlignment="1">
      <alignment horizontal="center"/>
      <protection/>
    </xf>
    <xf numFmtId="5" fontId="88" fillId="0" borderId="0" xfId="73" applyNumberFormat="1" applyFont="1" applyFill="1" applyBorder="1">
      <alignment/>
      <protection/>
    </xf>
    <xf numFmtId="37" fontId="89" fillId="0" borderId="0" xfId="73" applyNumberFormat="1" applyFont="1" applyFill="1" applyBorder="1">
      <alignment/>
      <protection/>
    </xf>
    <xf numFmtId="5" fontId="89" fillId="0" borderId="0" xfId="73" applyNumberFormat="1" applyFont="1" applyFill="1" applyBorder="1">
      <alignment/>
      <protection/>
    </xf>
    <xf numFmtId="37" fontId="88" fillId="0" borderId="0" xfId="73" applyNumberFormat="1" applyFont="1" applyFill="1" applyBorder="1">
      <alignment/>
      <protection/>
    </xf>
    <xf numFmtId="3" fontId="89" fillId="0" borderId="0" xfId="73" applyNumberFormat="1" applyFont="1" applyFill="1" applyBorder="1">
      <alignment/>
      <protection/>
    </xf>
    <xf numFmtId="168" fontId="89" fillId="0" borderId="0" xfId="73" applyNumberFormat="1" applyFont="1" applyFill="1" applyBorder="1">
      <alignment/>
      <protection/>
    </xf>
    <xf numFmtId="3" fontId="89" fillId="0" borderId="16" xfId="73" applyNumberFormat="1" applyFont="1" applyFill="1" applyBorder="1" applyAlignment="1">
      <alignment horizontal="center"/>
      <protection/>
    </xf>
    <xf numFmtId="3" fontId="89" fillId="0" borderId="15" xfId="73" applyNumberFormat="1" applyFont="1" applyFill="1" applyBorder="1">
      <alignment/>
      <protection/>
    </xf>
    <xf numFmtId="3" fontId="89" fillId="0" borderId="15" xfId="73" applyNumberFormat="1" applyFont="1" applyFill="1" applyBorder="1" applyAlignment="1">
      <alignment horizontal="center"/>
      <protection/>
    </xf>
    <xf numFmtId="0" fontId="89" fillId="0" borderId="17" xfId="73" applyFont="1" applyFill="1" applyBorder="1" applyAlignment="1">
      <alignment horizontal="center"/>
      <protection/>
    </xf>
    <xf numFmtId="0" fontId="89" fillId="0" borderId="18" xfId="73" applyFont="1" applyFill="1" applyBorder="1">
      <alignment/>
      <protection/>
    </xf>
    <xf numFmtId="10" fontId="89" fillId="0" borderId="18" xfId="73" applyNumberFormat="1" applyFont="1" applyFill="1" applyBorder="1" applyAlignment="1">
      <alignment horizontal="center"/>
      <protection/>
    </xf>
    <xf numFmtId="165" fontId="89" fillId="0" borderId="17" xfId="73" applyNumberFormat="1" applyFont="1" applyFill="1" applyBorder="1">
      <alignment/>
      <protection/>
    </xf>
    <xf numFmtId="10" fontId="89" fillId="0" borderId="19" xfId="73" applyNumberFormat="1" applyFont="1" applyFill="1" applyBorder="1" applyAlignment="1">
      <alignment horizontal="center"/>
      <protection/>
    </xf>
    <xf numFmtId="10" fontId="89" fillId="0" borderId="17" xfId="73" applyNumberFormat="1" applyFont="1" applyFill="1" applyBorder="1" applyAlignment="1">
      <alignment horizontal="center"/>
      <protection/>
    </xf>
    <xf numFmtId="5" fontId="88" fillId="0" borderId="18" xfId="60" applyNumberFormat="1" applyFont="1" applyFill="1" applyBorder="1" applyAlignment="1">
      <alignment/>
    </xf>
    <xf numFmtId="0" fontId="87" fillId="0" borderId="19" xfId="73" applyFont="1" applyFill="1" applyBorder="1">
      <alignment/>
      <protection/>
    </xf>
    <xf numFmtId="5" fontId="89" fillId="0" borderId="0" xfId="60" applyNumberFormat="1" applyFont="1" applyFill="1" applyBorder="1" applyAlignment="1">
      <alignment/>
    </xf>
    <xf numFmtId="5" fontId="87" fillId="0" borderId="0" xfId="73" applyNumberFormat="1" applyFont="1" applyFill="1" applyBorder="1">
      <alignment/>
      <protection/>
    </xf>
    <xf numFmtId="3" fontId="87" fillId="0" borderId="0" xfId="73" applyNumberFormat="1" applyFont="1" applyFill="1" applyBorder="1">
      <alignment/>
      <protection/>
    </xf>
    <xf numFmtId="3" fontId="87" fillId="0" borderId="0" xfId="73" applyNumberFormat="1" applyFont="1" applyFill="1" applyBorder="1" applyAlignment="1">
      <alignment horizontal="center"/>
      <protection/>
    </xf>
    <xf numFmtId="165" fontId="87" fillId="0" borderId="0" xfId="73" applyNumberFormat="1" applyFont="1" applyFill="1" applyBorder="1">
      <alignment/>
      <protection/>
    </xf>
    <xf numFmtId="0" fontId="89" fillId="0" borderId="0" xfId="73" applyFont="1" applyFill="1" applyBorder="1" applyAlignment="1">
      <alignment horizontal="center" wrapText="1"/>
      <protection/>
    </xf>
    <xf numFmtId="0" fontId="90" fillId="0" borderId="0" xfId="73" applyFont="1" applyFill="1" applyBorder="1">
      <alignment/>
      <protection/>
    </xf>
    <xf numFmtId="37" fontId="91" fillId="0" borderId="0" xfId="52" applyNumberFormat="1" applyFont="1" applyFill="1" applyBorder="1" applyAlignment="1" quotePrefix="1">
      <alignment horizontal="center"/>
    </xf>
    <xf numFmtId="0" fontId="88" fillId="0" borderId="15" xfId="73" applyFont="1" applyFill="1" applyBorder="1" applyAlignment="1" quotePrefix="1">
      <alignment wrapText="1"/>
      <protection/>
    </xf>
    <xf numFmtId="37" fontId="87" fillId="0" borderId="0" xfId="73" applyNumberFormat="1" applyFont="1" applyFill="1" applyBorder="1">
      <alignment/>
      <protection/>
    </xf>
    <xf numFmtId="5" fontId="0" fillId="0" borderId="0" xfId="73" applyNumberFormat="1" applyFont="1">
      <alignment/>
      <protection/>
    </xf>
    <xf numFmtId="5" fontId="0" fillId="0" borderId="0" xfId="0" applyNumberFormat="1" applyFont="1" applyFill="1" applyAlignment="1">
      <alignment/>
    </xf>
    <xf numFmtId="37" fontId="0" fillId="0" borderId="0" xfId="73" applyNumberFormat="1" applyFont="1">
      <alignment/>
      <protection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 indent="1"/>
    </xf>
    <xf numFmtId="37" fontId="91" fillId="0" borderId="11" xfId="52" applyNumberFormat="1" applyFont="1" applyFill="1" applyBorder="1" applyAlignment="1" quotePrefix="1">
      <alignment horizontal="center"/>
    </xf>
    <xf numFmtId="37" fontId="10" fillId="0" borderId="11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 wrapText="1"/>
    </xf>
    <xf numFmtId="37" fontId="92" fillId="0" borderId="0" xfId="52" applyNumberFormat="1" applyFont="1" applyFill="1" applyBorder="1" applyAlignment="1">
      <alignment horizontal="center" vertical="center"/>
    </xf>
    <xf numFmtId="0" fontId="87" fillId="0" borderId="15" xfId="73" applyFont="1" applyFill="1" applyBorder="1" applyAlignment="1">
      <alignment horizontal="center" vertical="center"/>
      <protection/>
    </xf>
    <xf numFmtId="0" fontId="89" fillId="0" borderId="0" xfId="73" applyFont="1" applyFill="1" applyBorder="1" applyAlignment="1">
      <alignment vertical="center"/>
      <protection/>
    </xf>
    <xf numFmtId="0" fontId="89" fillId="0" borderId="20" xfId="73" applyFont="1" applyFill="1" applyBorder="1" applyAlignment="1">
      <alignment horizontal="center" vertical="center"/>
      <protection/>
    </xf>
    <xf numFmtId="0" fontId="89" fillId="0" borderId="0" xfId="73" applyFont="1" applyFill="1" applyBorder="1" applyAlignment="1">
      <alignment horizontal="center" vertical="center"/>
      <protection/>
    </xf>
    <xf numFmtId="0" fontId="89" fillId="0" borderId="15" xfId="73" applyFont="1" applyFill="1" applyBorder="1" applyAlignment="1">
      <alignment horizontal="center" vertical="center"/>
      <protection/>
    </xf>
    <xf numFmtId="0" fontId="89" fillId="0" borderId="16" xfId="73" applyFont="1" applyFill="1" applyBorder="1" applyAlignment="1">
      <alignment horizontal="center" vertical="center"/>
      <protection/>
    </xf>
    <xf numFmtId="0" fontId="93" fillId="0" borderId="0" xfId="73" applyFont="1" applyFill="1" applyBorder="1" applyAlignment="1">
      <alignment horizontal="center" vertical="center"/>
      <protection/>
    </xf>
    <xf numFmtId="0" fontId="87" fillId="0" borderId="16" xfId="73" applyFont="1" applyFill="1" applyBorder="1" applyAlignment="1">
      <alignment vertical="center"/>
      <protection/>
    </xf>
    <xf numFmtId="0" fontId="87" fillId="0" borderId="0" xfId="73" applyFont="1" applyFill="1" applyBorder="1" applyAlignment="1">
      <alignment vertical="center"/>
      <protection/>
    </xf>
    <xf numFmtId="37" fontId="92" fillId="0" borderId="15" xfId="52" applyNumberFormat="1" applyFont="1" applyFill="1" applyBorder="1" applyAlignment="1">
      <alignment horizontal="center" vertical="center"/>
    </xf>
    <xf numFmtId="37" fontId="91" fillId="0" borderId="15" xfId="52" applyNumberFormat="1" applyFont="1" applyFill="1" applyBorder="1" applyAlignment="1" quotePrefix="1">
      <alignment horizontal="center"/>
    </xf>
    <xf numFmtId="37" fontId="8" fillId="0" borderId="0" xfId="0" applyNumberFormat="1" applyFont="1" applyFill="1" applyAlignment="1">
      <alignment/>
    </xf>
    <xf numFmtId="37" fontId="88" fillId="0" borderId="0" xfId="77" applyNumberFormat="1" applyFont="1" applyFill="1" applyBorder="1" applyAlignment="1" quotePrefix="1">
      <alignment horizontal="center"/>
      <protection/>
    </xf>
    <xf numFmtId="37" fontId="0" fillId="0" borderId="0" xfId="0" applyNumberFormat="1" applyFont="1" applyFill="1" applyAlignment="1">
      <alignment vertical="top"/>
    </xf>
    <xf numFmtId="37" fontId="8" fillId="0" borderId="18" xfId="0" applyNumberFormat="1" applyFont="1" applyFill="1" applyBorder="1" applyAlignment="1">
      <alignment/>
    </xf>
    <xf numFmtId="37" fontId="0" fillId="0" borderId="0" xfId="0" applyNumberFormat="1" applyFont="1" applyFill="1" applyAlignment="1">
      <alignment vertical="top" wrapText="1"/>
    </xf>
    <xf numFmtId="37" fontId="7" fillId="0" borderId="11" xfId="0" applyNumberFormat="1" applyFont="1" applyFill="1" applyBorder="1" applyAlignment="1">
      <alignment/>
    </xf>
    <xf numFmtId="37" fontId="87" fillId="0" borderId="0" xfId="0" applyNumberFormat="1" applyFont="1" applyFill="1" applyAlignment="1">
      <alignment/>
    </xf>
    <xf numFmtId="37" fontId="89" fillId="0" borderId="15" xfId="73" applyNumberFormat="1" applyFont="1" applyFill="1" applyBorder="1">
      <alignment/>
      <protection/>
    </xf>
    <xf numFmtId="37" fontId="89" fillId="33" borderId="15" xfId="73" applyNumberFormat="1" applyFont="1" applyFill="1" applyBorder="1">
      <alignment/>
      <protection/>
    </xf>
    <xf numFmtId="0" fontId="94" fillId="0" borderId="0" xfId="73" applyFont="1" applyFill="1" applyBorder="1" applyAlignment="1">
      <alignment horizontal="center"/>
      <protection/>
    </xf>
    <xf numFmtId="166" fontId="87" fillId="0" borderId="0" xfId="45" applyNumberFormat="1" applyFont="1" applyFill="1" applyBorder="1" applyAlignment="1">
      <alignment/>
    </xf>
    <xf numFmtId="37" fontId="95" fillId="0" borderId="0" xfId="0" applyNumberFormat="1" applyFont="1" applyFill="1" applyBorder="1" applyAlignment="1">
      <alignment/>
    </xf>
    <xf numFmtId="165" fontId="89" fillId="0" borderId="15" xfId="81" applyNumberFormat="1" applyFont="1" applyBorder="1">
      <alignment/>
      <protection/>
    </xf>
    <xf numFmtId="37" fontId="89" fillId="0" borderId="15" xfId="81" applyNumberFormat="1" applyFont="1" applyBorder="1">
      <alignment/>
      <protection/>
    </xf>
    <xf numFmtId="3" fontId="89" fillId="0" borderId="15" xfId="81" applyNumberFormat="1" applyFont="1" applyBorder="1">
      <alignment/>
      <protection/>
    </xf>
    <xf numFmtId="0" fontId="90" fillId="0" borderId="15" xfId="73" applyFont="1" applyFill="1" applyBorder="1">
      <alignment/>
      <protection/>
    </xf>
    <xf numFmtId="37" fontId="30" fillId="0" borderId="0" xfId="0" applyNumberFormat="1" applyFont="1" applyFill="1" applyBorder="1" applyAlignment="1">
      <alignment/>
    </xf>
    <xf numFmtId="37" fontId="8" fillId="0" borderId="0" xfId="0" applyNumberFormat="1" applyFont="1" applyFill="1" applyAlignment="1" quotePrefix="1">
      <alignment horizontal="center"/>
    </xf>
    <xf numFmtId="0" fontId="11" fillId="0" borderId="0" xfId="82" applyFont="1" applyFill="1" applyBorder="1">
      <alignment/>
      <protection/>
    </xf>
    <xf numFmtId="0" fontId="9" fillId="0" borderId="0" xfId="82" applyFont="1" applyFill="1" applyBorder="1">
      <alignment/>
      <protection/>
    </xf>
    <xf numFmtId="0" fontId="8" fillId="0" borderId="0" xfId="82" applyFont="1" applyFill="1" applyBorder="1">
      <alignment/>
      <protection/>
    </xf>
    <xf numFmtId="0" fontId="3" fillId="0" borderId="0" xfId="82" applyFont="1" applyFill="1" applyBorder="1" applyAlignment="1">
      <alignment horizontal="right"/>
      <protection/>
    </xf>
    <xf numFmtId="0" fontId="23" fillId="0" borderId="0" xfId="82" applyFont="1" applyFill="1" applyBorder="1">
      <alignment/>
      <protection/>
    </xf>
    <xf numFmtId="0" fontId="9" fillId="0" borderId="0" xfId="82" applyFont="1" applyFill="1">
      <alignment/>
      <protection/>
    </xf>
    <xf numFmtId="0" fontId="9" fillId="0" borderId="10" xfId="82" applyFont="1" applyFill="1" applyBorder="1">
      <alignment/>
      <protection/>
    </xf>
    <xf numFmtId="0" fontId="0" fillId="0" borderId="21" xfId="82" applyFont="1" applyFill="1" applyBorder="1" applyAlignment="1">
      <alignment horizontal="center" wrapText="1"/>
      <protection/>
    </xf>
    <xf numFmtId="0" fontId="0" fillId="0" borderId="10" xfId="82" applyFont="1" applyFill="1" applyBorder="1" applyAlignment="1">
      <alignment horizontal="center" wrapText="1"/>
      <protection/>
    </xf>
    <xf numFmtId="0" fontId="0" fillId="0" borderId="22" xfId="82" applyFont="1" applyFill="1" applyBorder="1" applyAlignment="1">
      <alignment horizontal="center" wrapText="1"/>
      <protection/>
    </xf>
    <xf numFmtId="0" fontId="0" fillId="0" borderId="0" xfId="82" applyFont="1" applyFill="1" applyAlignment="1">
      <alignment horizontal="center" wrapText="1"/>
      <protection/>
    </xf>
    <xf numFmtId="0" fontId="9" fillId="0" borderId="23" xfId="82" applyFont="1" applyFill="1" applyBorder="1" applyAlignment="1">
      <alignment horizontal="center" wrapText="1"/>
      <protection/>
    </xf>
    <xf numFmtId="0" fontId="9" fillId="0" borderId="0" xfId="82" applyFont="1" applyFill="1" applyBorder="1" applyAlignment="1">
      <alignment horizontal="center" wrapText="1"/>
      <protection/>
    </xf>
    <xf numFmtId="0" fontId="9" fillId="0" borderId="24" xfId="82" applyFont="1" applyFill="1" applyBorder="1" applyAlignment="1">
      <alignment horizontal="center" wrapText="1"/>
      <protection/>
    </xf>
    <xf numFmtId="0" fontId="9" fillId="0" borderId="0" xfId="82" applyFont="1" applyFill="1" applyAlignment="1">
      <alignment horizontal="center" wrapText="1"/>
      <protection/>
    </xf>
    <xf numFmtId="5" fontId="9" fillId="0" borderId="23" xfId="82" applyNumberFormat="1" applyFont="1" applyFill="1" applyBorder="1">
      <alignment/>
      <protection/>
    </xf>
    <xf numFmtId="5" fontId="9" fillId="0" borderId="0" xfId="82" applyNumberFormat="1" applyFont="1" applyFill="1" applyBorder="1">
      <alignment/>
      <protection/>
    </xf>
    <xf numFmtId="5" fontId="9" fillId="0" borderId="0" xfId="82" applyNumberFormat="1" applyFont="1" applyFill="1">
      <alignment/>
      <protection/>
    </xf>
    <xf numFmtId="37" fontId="9" fillId="0" borderId="23" xfId="82" applyNumberFormat="1" applyFont="1" applyFill="1" applyBorder="1">
      <alignment/>
      <protection/>
    </xf>
    <xf numFmtId="37" fontId="9" fillId="0" borderId="0" xfId="82" applyNumberFormat="1" applyFont="1" applyFill="1" applyBorder="1">
      <alignment/>
      <protection/>
    </xf>
    <xf numFmtId="37" fontId="9" fillId="0" borderId="24" xfId="82" applyNumberFormat="1" applyFont="1" applyFill="1" applyBorder="1">
      <alignment/>
      <protection/>
    </xf>
    <xf numFmtId="0" fontId="7" fillId="0" borderId="0" xfId="82" applyFont="1" applyFill="1">
      <alignment/>
      <protection/>
    </xf>
    <xf numFmtId="0" fontId="0" fillId="0" borderId="0" xfId="82" applyFont="1" applyFill="1">
      <alignment/>
      <protection/>
    </xf>
    <xf numFmtId="166" fontId="0" fillId="0" borderId="0" xfId="82" applyNumberFormat="1" applyFont="1" applyFill="1">
      <alignment/>
      <protection/>
    </xf>
    <xf numFmtId="0" fontId="7" fillId="0" borderId="0" xfId="82" applyNumberFormat="1" applyFont="1" applyFill="1" applyAlignment="1">
      <alignment/>
      <protection/>
    </xf>
    <xf numFmtId="5" fontId="0" fillId="0" borderId="0" xfId="82" applyNumberFormat="1" applyFont="1" applyFill="1">
      <alignment/>
      <protection/>
    </xf>
    <xf numFmtId="7" fontId="9" fillId="0" borderId="0" xfId="82" applyNumberFormat="1" applyFont="1" applyFill="1">
      <alignment/>
      <protection/>
    </xf>
    <xf numFmtId="0" fontId="9" fillId="0" borderId="0" xfId="82" applyFont="1" applyFill="1" applyAlignment="1">
      <alignment horizontal="center"/>
      <protection/>
    </xf>
    <xf numFmtId="0" fontId="0" fillId="0" borderId="0" xfId="82" applyFont="1" applyFill="1" applyAlignment="1">
      <alignment horizontal="center"/>
      <protection/>
    </xf>
    <xf numFmtId="7" fontId="0" fillId="0" borderId="0" xfId="82" applyNumberFormat="1" applyFont="1" applyFill="1" applyAlignment="1">
      <alignment horizontal="center"/>
      <protection/>
    </xf>
    <xf numFmtId="5" fontId="9" fillId="0" borderId="0" xfId="82" applyNumberFormat="1" applyFont="1" applyFill="1" applyAlignment="1">
      <alignment horizontal="center"/>
      <protection/>
    </xf>
    <xf numFmtId="0" fontId="7" fillId="0" borderId="0" xfId="82" applyNumberFormat="1" applyFont="1" applyFill="1" applyAlignment="1">
      <alignment wrapText="1"/>
      <protection/>
    </xf>
    <xf numFmtId="0" fontId="9" fillId="0" borderId="0" xfId="82" applyFont="1" applyFill="1" applyAlignment="1">
      <alignment vertical="center"/>
      <protection/>
    </xf>
    <xf numFmtId="5" fontId="9" fillId="0" borderId="0" xfId="82" applyNumberFormat="1" applyFont="1" applyFill="1" applyAlignment="1">
      <alignment vertical="center"/>
      <protection/>
    </xf>
    <xf numFmtId="7" fontId="9" fillId="0" borderId="0" xfId="82" applyNumberFormat="1" applyFont="1" applyFill="1" applyAlignment="1">
      <alignment vertical="center"/>
      <protection/>
    </xf>
    <xf numFmtId="0" fontId="96" fillId="0" borderId="0" xfId="82" applyFont="1" applyFill="1" applyBorder="1">
      <alignment/>
      <protection/>
    </xf>
    <xf numFmtId="0" fontId="0" fillId="0" borderId="25" xfId="82" applyFont="1" applyFill="1" applyBorder="1" applyAlignment="1">
      <alignment horizontal="center" wrapText="1"/>
      <protection/>
    </xf>
    <xf numFmtId="0" fontId="97" fillId="0" borderId="0" xfId="82" applyFont="1" applyFill="1" applyBorder="1">
      <alignment/>
      <protection/>
    </xf>
    <xf numFmtId="0" fontId="97" fillId="0" borderId="0" xfId="82" applyFont="1" applyFill="1" applyBorder="1" applyAlignment="1">
      <alignment horizontal="right"/>
      <protection/>
    </xf>
    <xf numFmtId="0" fontId="97" fillId="0" borderId="0" xfId="82" applyFont="1" applyFill="1" applyBorder="1" applyAlignment="1">
      <alignment horizontal="center"/>
      <protection/>
    </xf>
    <xf numFmtId="0" fontId="23" fillId="0" borderId="0" xfId="76" applyFont="1" applyFill="1">
      <alignment/>
      <protection/>
    </xf>
    <xf numFmtId="0" fontId="0" fillId="0" borderId="26" xfId="82" applyFont="1" applyFill="1" applyBorder="1" applyAlignment="1">
      <alignment horizontal="center" wrapText="1"/>
      <protection/>
    </xf>
    <xf numFmtId="0" fontId="9" fillId="0" borderId="27" xfId="82" applyFont="1" applyFill="1" applyBorder="1" applyAlignment="1">
      <alignment horizontal="center" wrapText="1"/>
      <protection/>
    </xf>
    <xf numFmtId="5" fontId="9" fillId="0" borderId="27" xfId="82" applyNumberFormat="1" applyFont="1" applyFill="1" applyBorder="1">
      <alignment/>
      <protection/>
    </xf>
    <xf numFmtId="37" fontId="9" fillId="0" borderId="27" xfId="82" applyNumberFormat="1" applyFont="1" applyFill="1" applyBorder="1">
      <alignment/>
      <protection/>
    </xf>
    <xf numFmtId="37" fontId="8" fillId="0" borderId="1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 quotePrefix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/>
    </xf>
    <xf numFmtId="37" fontId="10" fillId="0" borderId="11" xfId="0" applyNumberFormat="1" applyFont="1" applyFill="1" applyBorder="1" applyAlignment="1">
      <alignment horizontal="center" vertical="center"/>
    </xf>
    <xf numFmtId="37" fontId="98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center" vertical="center"/>
    </xf>
    <xf numFmtId="37" fontId="7" fillId="0" borderId="11" xfId="0" applyNumberFormat="1" applyFont="1" applyFill="1" applyBorder="1" applyAlignment="1">
      <alignment/>
    </xf>
    <xf numFmtId="0" fontId="98" fillId="0" borderId="23" xfId="82" applyFont="1" applyFill="1" applyBorder="1" applyAlignment="1">
      <alignment horizontal="center" vertical="center" wrapText="1"/>
      <protection/>
    </xf>
    <xf numFmtId="0" fontId="98" fillId="0" borderId="0" xfId="82" applyFont="1" applyFill="1" applyBorder="1" applyAlignment="1">
      <alignment horizontal="center" vertical="center" wrapText="1"/>
      <protection/>
    </xf>
    <xf numFmtId="37" fontId="5" fillId="0" borderId="0" xfId="73" applyNumberFormat="1" applyFont="1" applyFill="1" applyAlignment="1" quotePrefix="1">
      <alignment horizontal="center" vertical="center"/>
      <protection/>
    </xf>
    <xf numFmtId="0" fontId="98" fillId="0" borderId="28" xfId="82" applyFont="1" applyFill="1" applyBorder="1" applyAlignment="1">
      <alignment horizontal="center" vertical="center" wrapText="1"/>
      <protection/>
    </xf>
    <xf numFmtId="0" fontId="98" fillId="0" borderId="29" xfId="82" applyFont="1" applyFill="1" applyBorder="1" applyAlignment="1">
      <alignment horizontal="center" vertical="center" wrapText="1"/>
      <protection/>
    </xf>
    <xf numFmtId="37" fontId="5" fillId="0" borderId="0" xfId="73" applyNumberFormat="1" applyFont="1" applyFill="1" applyBorder="1" applyAlignment="1" quotePrefix="1">
      <alignment horizontal="center" vertical="center"/>
      <protection/>
    </xf>
    <xf numFmtId="37" fontId="5" fillId="0" borderId="27" xfId="73" applyNumberFormat="1" applyFont="1" applyFill="1" applyBorder="1" applyAlignment="1" quotePrefix="1">
      <alignment horizontal="center" vertical="center"/>
      <protection/>
    </xf>
    <xf numFmtId="37" fontId="5" fillId="0" borderId="0" xfId="73" applyNumberFormat="1" applyFont="1" applyFill="1" applyBorder="1" applyAlignment="1">
      <alignment horizontal="center" vertical="center"/>
      <protection/>
    </xf>
    <xf numFmtId="37" fontId="5" fillId="0" borderId="29" xfId="73" applyNumberFormat="1" applyFont="1" applyFill="1" applyBorder="1" applyAlignment="1">
      <alignment horizontal="center" vertical="center"/>
      <protection/>
    </xf>
    <xf numFmtId="0" fontId="98" fillId="0" borderId="0" xfId="82" applyFont="1" applyFill="1" applyAlignment="1">
      <alignment horizontal="center" vertical="center" wrapText="1"/>
      <protection/>
    </xf>
    <xf numFmtId="37" fontId="9" fillId="0" borderId="0" xfId="82" applyNumberFormat="1" applyFont="1" applyFill="1" applyBorder="1" applyAlignment="1">
      <alignment horizontal="right"/>
      <protection/>
    </xf>
    <xf numFmtId="0" fontId="89" fillId="0" borderId="0" xfId="82" applyFont="1" applyFill="1" applyBorder="1" applyAlignment="1">
      <alignment horizontal="left"/>
      <protection/>
    </xf>
    <xf numFmtId="37" fontId="87" fillId="0" borderId="0" xfId="77" applyNumberFormat="1" applyFont="1" applyFill="1" applyAlignment="1">
      <alignment horizontal="left" vertical="top" wrapText="1"/>
      <protection/>
    </xf>
    <xf numFmtId="37" fontId="85" fillId="0" borderId="0" xfId="73" applyNumberFormat="1" applyFont="1" applyFill="1" applyAlignment="1">
      <alignment horizontal="left"/>
      <protection/>
    </xf>
    <xf numFmtId="37" fontId="72" fillId="0" borderId="0" xfId="83" applyNumberFormat="1" applyFont="1" applyFill="1">
      <alignment/>
      <protection/>
    </xf>
    <xf numFmtId="37" fontId="72" fillId="0" borderId="0" xfId="73" applyNumberFormat="1" applyFont="1" applyFill="1" applyAlignment="1">
      <alignment horizontal="left"/>
      <protection/>
    </xf>
    <xf numFmtId="37" fontId="72" fillId="0" borderId="0" xfId="83" applyNumberFormat="1" applyFont="1" applyFill="1" applyBorder="1">
      <alignment/>
      <protection/>
    </xf>
    <xf numFmtId="37" fontId="99" fillId="0" borderId="0" xfId="83" applyNumberFormat="1" applyFont="1" applyFill="1" applyBorder="1">
      <alignment/>
      <protection/>
    </xf>
    <xf numFmtId="37" fontId="99" fillId="0" borderId="0" xfId="83" applyNumberFormat="1" applyFont="1" applyFill="1">
      <alignment/>
      <protection/>
    </xf>
    <xf numFmtId="37" fontId="88" fillId="0" borderId="0" xfId="83" applyNumberFormat="1" applyFont="1" applyFill="1">
      <alignment/>
      <protection/>
    </xf>
    <xf numFmtId="37" fontId="88" fillId="0" borderId="0" xfId="54" applyNumberFormat="1" applyFont="1" applyFill="1" applyBorder="1" applyAlignment="1">
      <alignment/>
    </xf>
    <xf numFmtId="37" fontId="88" fillId="0" borderId="0" xfId="83" applyNumberFormat="1" applyFont="1" applyFill="1" applyAlignment="1">
      <alignment horizontal="center"/>
      <protection/>
    </xf>
    <xf numFmtId="37" fontId="88" fillId="0" borderId="0" xfId="83" applyNumberFormat="1" applyFont="1" applyFill="1" applyBorder="1" applyAlignment="1">
      <alignment horizontal="center"/>
      <protection/>
    </xf>
    <xf numFmtId="37" fontId="88" fillId="0" borderId="0" xfId="83" applyNumberFormat="1" applyFont="1" applyFill="1" applyBorder="1" applyAlignment="1" quotePrefix="1">
      <alignment horizontal="center"/>
      <protection/>
    </xf>
    <xf numFmtId="37" fontId="93" fillId="0" borderId="0" xfId="83" applyNumberFormat="1" applyFont="1" applyFill="1" applyBorder="1" applyAlignment="1">
      <alignment horizontal="center"/>
      <protection/>
    </xf>
    <xf numFmtId="37" fontId="89" fillId="0" borderId="0" xfId="83" applyNumberFormat="1" applyFont="1" applyFill="1">
      <alignment/>
      <protection/>
    </xf>
    <xf numFmtId="37" fontId="91" fillId="0" borderId="0" xfId="54" applyNumberFormat="1" applyFont="1" applyFill="1" applyBorder="1" applyAlignment="1">
      <alignment horizontal="center"/>
    </xf>
    <xf numFmtId="37" fontId="100" fillId="0" borderId="0" xfId="83" applyNumberFormat="1" applyFont="1" applyFill="1" applyAlignment="1">
      <alignment horizontal="center" vertical="center"/>
      <protection/>
    </xf>
    <xf numFmtId="37" fontId="92" fillId="0" borderId="0" xfId="54" applyNumberFormat="1" applyFont="1" applyFill="1" applyBorder="1" applyAlignment="1" quotePrefix="1">
      <alignment horizontal="center" vertical="center"/>
    </xf>
    <xf numFmtId="37" fontId="91" fillId="0" borderId="0" xfId="54" applyNumberFormat="1" applyFont="1" applyFill="1" applyBorder="1" applyAlignment="1" quotePrefix="1">
      <alignment horizontal="center"/>
    </xf>
    <xf numFmtId="37" fontId="91" fillId="0" borderId="11" xfId="54" applyNumberFormat="1" applyFont="1" applyFill="1" applyBorder="1" applyAlignment="1" quotePrefix="1">
      <alignment horizontal="center"/>
    </xf>
    <xf numFmtId="5" fontId="72" fillId="0" borderId="0" xfId="83" applyNumberFormat="1" applyFont="1" applyFill="1">
      <alignment/>
      <protection/>
    </xf>
    <xf numFmtId="37" fontId="72" fillId="0" borderId="0" xfId="54" applyNumberFormat="1" applyFont="1" applyFill="1" applyAlignment="1">
      <alignment/>
    </xf>
    <xf numFmtId="37" fontId="72" fillId="0" borderId="0" xfId="54" applyNumberFormat="1" applyFont="1" applyFill="1" applyBorder="1" applyAlignment="1">
      <alignment/>
    </xf>
    <xf numFmtId="37" fontId="101" fillId="0" borderId="0" xfId="83" applyNumberFormat="1" applyFont="1" applyFill="1" applyBorder="1">
      <alignment/>
      <protection/>
    </xf>
    <xf numFmtId="37" fontId="92" fillId="0" borderId="0" xfId="0" applyNumberFormat="1" applyFont="1" applyFill="1" applyAlignment="1">
      <alignment horizontal="center" vertical="center" wrapText="1"/>
    </xf>
    <xf numFmtId="37" fontId="0" fillId="34" borderId="0" xfId="73" applyNumberFormat="1" applyFont="1" applyFill="1" applyBorder="1" applyAlignment="1">
      <alignment/>
      <protection/>
    </xf>
    <xf numFmtId="37" fontId="0" fillId="0" borderId="0" xfId="73" applyNumberFormat="1" applyFont="1" applyFill="1" applyBorder="1" applyAlignment="1">
      <alignment/>
      <protection/>
    </xf>
    <xf numFmtId="37" fontId="0" fillId="0" borderId="0" xfId="73" applyNumberFormat="1" applyFont="1" applyFill="1" applyAlignment="1">
      <alignment/>
      <protection/>
    </xf>
    <xf numFmtId="37" fontId="5" fillId="34" borderId="0" xfId="73" applyNumberFormat="1" applyFont="1" applyFill="1" applyBorder="1" applyAlignment="1">
      <alignment horizontal="center" vertical="center" wrapText="1"/>
      <protection/>
    </xf>
    <xf numFmtId="37" fontId="10" fillId="0" borderId="0" xfId="73" applyNumberFormat="1" applyFont="1" applyFill="1" applyBorder="1" applyAlignment="1">
      <alignment horizontal="center" vertical="center" wrapText="1"/>
      <protection/>
    </xf>
    <xf numFmtId="37" fontId="99" fillId="0" borderId="0" xfId="54" applyNumberFormat="1" applyFont="1" applyFill="1" applyBorder="1" applyAlignment="1">
      <alignment/>
    </xf>
    <xf numFmtId="5" fontId="0" fillId="0" borderId="1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0" xfId="72" applyNumberFormat="1" applyFont="1" applyFill="1" applyAlignment="1">
      <alignment vertical="top"/>
      <protection/>
    </xf>
    <xf numFmtId="37" fontId="0" fillId="0" borderId="11" xfId="72" applyNumberFormat="1" applyFont="1" applyFill="1" applyBorder="1" applyAlignment="1">
      <alignment vertical="top"/>
      <protection/>
    </xf>
    <xf numFmtId="37" fontId="0" fillId="0" borderId="0" xfId="0" applyNumberFormat="1" applyFont="1" applyFill="1" applyBorder="1" applyAlignment="1">
      <alignment/>
    </xf>
    <xf numFmtId="5" fontId="0" fillId="0" borderId="30" xfId="0" applyNumberFormat="1" applyFont="1" applyFill="1" applyBorder="1" applyAlignment="1">
      <alignment/>
    </xf>
    <xf numFmtId="5" fontId="0" fillId="0" borderId="31" xfId="0" applyNumberFormat="1" applyFont="1" applyFill="1" applyBorder="1" applyAlignment="1">
      <alignment/>
    </xf>
    <xf numFmtId="5" fontId="0" fillId="0" borderId="30" xfId="0" applyNumberFormat="1" applyFont="1" applyFill="1" applyBorder="1" applyAlignment="1">
      <alignment/>
    </xf>
    <xf numFmtId="166" fontId="87" fillId="0" borderId="0" xfId="42" applyNumberFormat="1" applyFont="1" applyBorder="1" applyAlignment="1">
      <alignment/>
    </xf>
    <xf numFmtId="37" fontId="6" fillId="0" borderId="0" xfId="0" applyNumberFormat="1" applyFont="1" applyFill="1" applyBorder="1" applyAlignment="1">
      <alignment/>
    </xf>
    <xf numFmtId="5" fontId="0" fillId="0" borderId="32" xfId="0" applyNumberFormat="1" applyFont="1" applyFill="1" applyBorder="1" applyAlignment="1">
      <alignment/>
    </xf>
    <xf numFmtId="5" fontId="0" fillId="0" borderId="33" xfId="0" applyNumberFormat="1" applyFont="1" applyFill="1" applyBorder="1" applyAlignment="1">
      <alignment/>
    </xf>
    <xf numFmtId="5" fontId="0" fillId="0" borderId="32" xfId="0" applyNumberFormat="1" applyFont="1" applyFill="1" applyBorder="1" applyAlignment="1">
      <alignment/>
    </xf>
    <xf numFmtId="5" fontId="87" fillId="0" borderId="0" xfId="83" applyNumberFormat="1" applyFont="1" applyFill="1">
      <alignment/>
      <protection/>
    </xf>
    <xf numFmtId="5" fontId="87" fillId="0" borderId="0" xfId="54" applyNumberFormat="1" applyFont="1" applyFill="1" applyBorder="1" applyAlignment="1">
      <alignment/>
    </xf>
    <xf numFmtId="5" fontId="87" fillId="0" borderId="11" xfId="54" applyNumberFormat="1" applyFont="1" applyFill="1" applyBorder="1" applyAlignment="1">
      <alignment/>
    </xf>
    <xf numFmtId="5" fontId="102" fillId="0" borderId="0" xfId="54" applyNumberFormat="1" applyFont="1" applyFill="1" applyBorder="1" applyAlignment="1">
      <alignment/>
    </xf>
    <xf numFmtId="5" fontId="87" fillId="0" borderId="15" xfId="52" applyNumberFormat="1" applyFont="1" applyFill="1" applyBorder="1" applyAlignment="1">
      <alignment/>
    </xf>
    <xf numFmtId="5" fontId="87" fillId="0" borderId="0" xfId="52" applyNumberFormat="1" applyFont="1" applyFill="1" applyBorder="1" applyAlignment="1">
      <alignment/>
    </xf>
    <xf numFmtId="5" fontId="87" fillId="0" borderId="11" xfId="52" applyNumberFormat="1" applyFont="1" applyFill="1" applyBorder="1" applyAlignment="1">
      <alignment/>
    </xf>
    <xf numFmtId="37" fontId="87" fillId="0" borderId="0" xfId="83" applyNumberFormat="1" applyFont="1" applyFill="1">
      <alignment/>
      <protection/>
    </xf>
    <xf numFmtId="37" fontId="87" fillId="0" borderId="0" xfId="54" applyNumberFormat="1" applyFont="1" applyFill="1" applyBorder="1" applyAlignment="1">
      <alignment/>
    </xf>
    <xf numFmtId="37" fontId="87" fillId="0" borderId="11" xfId="54" applyNumberFormat="1" applyFont="1" applyFill="1" applyBorder="1" applyAlignment="1">
      <alignment/>
    </xf>
    <xf numFmtId="37" fontId="102" fillId="0" borderId="0" xfId="54" applyNumberFormat="1" applyFont="1" applyFill="1" applyBorder="1" applyAlignment="1">
      <alignment/>
    </xf>
    <xf numFmtId="37" fontId="87" fillId="0" borderId="15" xfId="52" applyNumberFormat="1" applyFont="1" applyFill="1" applyBorder="1" applyAlignment="1">
      <alignment/>
    </xf>
    <xf numFmtId="37" fontId="87" fillId="0" borderId="0" xfId="52" applyNumberFormat="1" applyFont="1" applyFill="1" applyBorder="1" applyAlignment="1">
      <alignment/>
    </xf>
    <xf numFmtId="37" fontId="87" fillId="0" borderId="11" xfId="52" applyNumberFormat="1" applyFont="1" applyFill="1" applyBorder="1" applyAlignment="1">
      <alignment/>
    </xf>
    <xf numFmtId="37" fontId="87" fillId="0" borderId="30" xfId="83" applyNumberFormat="1" applyFont="1" applyFill="1" applyBorder="1">
      <alignment/>
      <protection/>
    </xf>
    <xf numFmtId="5" fontId="87" fillId="0" borderId="30" xfId="54" applyNumberFormat="1" applyFont="1" applyFill="1" applyBorder="1" applyAlignment="1">
      <alignment/>
    </xf>
    <xf numFmtId="5" fontId="87" fillId="0" borderId="31" xfId="54" applyNumberFormat="1" applyFont="1" applyFill="1" applyBorder="1" applyAlignment="1">
      <alignment/>
    </xf>
    <xf numFmtId="5" fontId="87" fillId="0" borderId="16" xfId="54" applyNumberFormat="1" applyFont="1" applyFill="1" applyBorder="1" applyAlignment="1">
      <alignment/>
    </xf>
    <xf numFmtId="5" fontId="87" fillId="0" borderId="30" xfId="52" applyNumberFormat="1" applyFont="1" applyFill="1" applyBorder="1" applyAlignment="1">
      <alignment/>
    </xf>
    <xf numFmtId="37" fontId="87" fillId="0" borderId="0" xfId="83" applyNumberFormat="1" applyFont="1" applyFill="1" applyBorder="1">
      <alignment/>
      <protection/>
    </xf>
    <xf numFmtId="37" fontId="87" fillId="0" borderId="18" xfId="54" applyNumberFormat="1" applyFont="1" applyFill="1" applyBorder="1" applyAlignment="1">
      <alignment/>
    </xf>
    <xf numFmtId="37" fontId="87" fillId="0" borderId="17" xfId="52" applyNumberFormat="1" applyFont="1" applyFill="1" applyBorder="1" applyAlignment="1">
      <alignment/>
    </xf>
    <xf numFmtId="37" fontId="87" fillId="0" borderId="18" xfId="52" applyNumberFormat="1" applyFont="1" applyFill="1" applyBorder="1" applyAlignment="1">
      <alignment/>
    </xf>
    <xf numFmtId="37" fontId="87" fillId="0" borderId="34" xfId="52" applyNumberFormat="1" applyFont="1" applyFill="1" applyBorder="1" applyAlignment="1">
      <alignment/>
    </xf>
    <xf numFmtId="37" fontId="87" fillId="0" borderId="32" xfId="83" applyNumberFormat="1" applyFont="1" applyFill="1" applyBorder="1">
      <alignment/>
      <protection/>
    </xf>
    <xf numFmtId="5" fontId="87" fillId="0" borderId="32" xfId="54" applyNumberFormat="1" applyFont="1" applyFill="1" applyBorder="1" applyAlignment="1">
      <alignment/>
    </xf>
    <xf numFmtId="5" fontId="87" fillId="0" borderId="33" xfId="54" applyNumberFormat="1" applyFont="1" applyFill="1" applyBorder="1" applyAlignment="1">
      <alignment/>
    </xf>
    <xf numFmtId="5" fontId="87" fillId="0" borderId="32" xfId="52" applyNumberFormat="1" applyFont="1" applyFill="1" applyBorder="1" applyAlignment="1">
      <alignment/>
    </xf>
    <xf numFmtId="37" fontId="87" fillId="0" borderId="0" xfId="54" applyNumberFormat="1" applyFont="1" applyFill="1" applyAlignment="1">
      <alignment/>
    </xf>
    <xf numFmtId="37" fontId="87" fillId="0" borderId="0" xfId="52" applyNumberFormat="1" applyFont="1" applyFill="1" applyAlignment="1">
      <alignment/>
    </xf>
    <xf numFmtId="37" fontId="87" fillId="0" borderId="0" xfId="77" applyNumberFormat="1" applyFont="1" applyFill="1">
      <alignment/>
      <protection/>
    </xf>
    <xf numFmtId="37" fontId="103" fillId="0" borderId="0" xfId="54" applyNumberFormat="1" applyFont="1" applyFill="1" applyAlignment="1">
      <alignment/>
    </xf>
    <xf numFmtId="37" fontId="89" fillId="0" borderId="0" xfId="83" applyNumberFormat="1" applyFont="1" applyFill="1" applyAlignment="1">
      <alignment wrapText="1"/>
      <protection/>
    </xf>
    <xf numFmtId="37" fontId="17" fillId="0" borderId="35" xfId="0" applyNumberFormat="1" applyFont="1" applyFill="1" applyBorder="1" applyAlignment="1">
      <alignment horizontal="center" wrapText="1"/>
    </xf>
    <xf numFmtId="37" fontId="89" fillId="0" borderId="35" xfId="54" applyNumberFormat="1" applyFont="1" applyFill="1" applyBorder="1" applyAlignment="1">
      <alignment horizontal="center" wrapText="1"/>
    </xf>
    <xf numFmtId="37" fontId="9" fillId="0" borderId="0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Alignment="1">
      <alignment horizontal="center" wrapText="1"/>
    </xf>
    <xf numFmtId="37" fontId="91" fillId="0" borderId="0" xfId="54" applyNumberFormat="1" applyFont="1" applyFill="1" applyBorder="1" applyAlignment="1">
      <alignment horizontal="center" wrapText="1"/>
    </xf>
    <xf numFmtId="37" fontId="89" fillId="0" borderId="0" xfId="54" applyNumberFormat="1" applyFont="1" applyFill="1" applyBorder="1" applyAlignment="1" quotePrefix="1">
      <alignment horizontal="center" wrapText="1"/>
    </xf>
    <xf numFmtId="37" fontId="89" fillId="0" borderId="12" xfId="52" applyNumberFormat="1" applyFont="1" applyFill="1" applyBorder="1" applyAlignment="1">
      <alignment horizontal="center" wrapText="1"/>
    </xf>
    <xf numFmtId="37" fontId="89" fillId="0" borderId="13" xfId="52" applyNumberFormat="1" applyFont="1" applyFill="1" applyBorder="1" applyAlignment="1">
      <alignment horizontal="center" wrapText="1"/>
    </xf>
    <xf numFmtId="37" fontId="89" fillId="0" borderId="35" xfId="52" applyNumberFormat="1" applyFont="1" applyFill="1" applyBorder="1" applyAlignment="1">
      <alignment horizontal="center" wrapText="1"/>
    </xf>
    <xf numFmtId="37" fontId="6" fillId="0" borderId="0" xfId="0" applyNumberFormat="1" applyFont="1" applyFill="1" applyAlignment="1">
      <alignment horizontal="left" vertical="top"/>
    </xf>
    <xf numFmtId="5" fontId="7" fillId="0" borderId="32" xfId="0" applyNumberFormat="1" applyFont="1" applyFill="1" applyBorder="1" applyAlignment="1">
      <alignment/>
    </xf>
    <xf numFmtId="37" fontId="104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vertical="top"/>
    </xf>
    <xf numFmtId="37" fontId="0" fillId="0" borderId="0" xfId="0" applyNumberFormat="1" applyFont="1" applyFill="1" applyAlignment="1">
      <alignment horizontal="center" vertical="top"/>
    </xf>
    <xf numFmtId="37" fontId="87" fillId="0" borderId="0" xfId="0" applyNumberFormat="1" applyFont="1" applyFill="1" applyAlignment="1">
      <alignment horizontal="left" vertical="top" wrapText="1"/>
    </xf>
    <xf numFmtId="37" fontId="9" fillId="0" borderId="10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37" fontId="8" fillId="0" borderId="13" xfId="0" applyNumberFormat="1" applyFont="1" applyFill="1" applyBorder="1" applyAlignment="1">
      <alignment horizontal="center"/>
    </xf>
    <xf numFmtId="37" fontId="8" fillId="0" borderId="13" xfId="0" applyNumberFormat="1" applyFont="1" applyFill="1" applyBorder="1" applyAlignment="1">
      <alignment/>
    </xf>
    <xf numFmtId="37" fontId="9" fillId="0" borderId="35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Border="1" applyAlignment="1">
      <alignment horizontal="left" wrapText="1"/>
    </xf>
    <xf numFmtId="37" fontId="6" fillId="0" borderId="0" xfId="0" applyNumberFormat="1" applyFont="1" applyFill="1" applyBorder="1" applyAlignment="1">
      <alignment vertical="top"/>
    </xf>
    <xf numFmtId="37" fontId="0" fillId="0" borderId="23" xfId="82" applyNumberFormat="1" applyFont="1" applyFill="1" applyBorder="1">
      <alignment/>
      <protection/>
    </xf>
    <xf numFmtId="37" fontId="0" fillId="0" borderId="0" xfId="82" applyNumberFormat="1" applyFont="1" applyFill="1" applyBorder="1" applyAlignment="1">
      <alignment horizontal="right"/>
      <protection/>
    </xf>
    <xf numFmtId="37" fontId="0" fillId="0" borderId="0" xfId="82" applyNumberFormat="1" applyFont="1" applyFill="1" applyBorder="1">
      <alignment/>
      <protection/>
    </xf>
    <xf numFmtId="37" fontId="0" fillId="0" borderId="24" xfId="82" applyNumberFormat="1" applyFont="1" applyFill="1" applyBorder="1">
      <alignment/>
      <protection/>
    </xf>
    <xf numFmtId="37" fontId="0" fillId="0" borderId="27" xfId="82" applyNumberFormat="1" applyFont="1" applyFill="1" applyBorder="1">
      <alignment/>
      <protection/>
    </xf>
    <xf numFmtId="5" fontId="2" fillId="0" borderId="36" xfId="82" applyNumberFormat="1" applyFont="1" applyFill="1" applyBorder="1">
      <alignment/>
      <protection/>
    </xf>
    <xf numFmtId="37" fontId="0" fillId="0" borderId="30" xfId="82" applyNumberFormat="1" applyFont="1" applyFill="1" applyBorder="1">
      <alignment/>
      <protection/>
    </xf>
    <xf numFmtId="5" fontId="0" fillId="0" borderId="30" xfId="82" applyNumberFormat="1" applyFont="1" applyFill="1" applyBorder="1">
      <alignment/>
      <protection/>
    </xf>
    <xf numFmtId="37" fontId="0" fillId="0" borderId="37" xfId="82" applyNumberFormat="1" applyFont="1" applyFill="1" applyBorder="1">
      <alignment/>
      <protection/>
    </xf>
    <xf numFmtId="5" fontId="0" fillId="0" borderId="38" xfId="82" applyNumberFormat="1" applyFont="1" applyFill="1" applyBorder="1">
      <alignment/>
      <protection/>
    </xf>
    <xf numFmtId="5" fontId="2" fillId="0" borderId="23" xfId="82" applyNumberFormat="1" applyFont="1" applyFill="1" applyBorder="1">
      <alignment/>
      <protection/>
    </xf>
    <xf numFmtId="5" fontId="0" fillId="0" borderId="0" xfId="82" applyNumberFormat="1" applyFont="1" applyFill="1" applyBorder="1">
      <alignment/>
      <protection/>
    </xf>
    <xf numFmtId="5" fontId="0" fillId="0" borderId="27" xfId="82" applyNumberFormat="1" applyFont="1" applyFill="1" applyBorder="1">
      <alignment/>
      <protection/>
    </xf>
    <xf numFmtId="5" fontId="0" fillId="0" borderId="23" xfId="82" applyNumberFormat="1" applyFont="1" applyFill="1" applyBorder="1">
      <alignment/>
      <protection/>
    </xf>
    <xf numFmtId="0" fontId="0" fillId="0" borderId="23" xfId="82" applyFont="1" applyFill="1" applyBorder="1">
      <alignment/>
      <protection/>
    </xf>
    <xf numFmtId="37" fontId="0" fillId="0" borderId="0" xfId="82" applyNumberFormat="1" applyFont="1" applyFill="1">
      <alignment/>
      <protection/>
    </xf>
    <xf numFmtId="37" fontId="0" fillId="0" borderId="18" xfId="82" applyNumberFormat="1" applyFont="1" applyFill="1" applyBorder="1">
      <alignment/>
      <protection/>
    </xf>
    <xf numFmtId="5" fontId="2" fillId="0" borderId="39" xfId="82" applyNumberFormat="1" applyFont="1" applyFill="1" applyBorder="1">
      <alignment/>
      <protection/>
    </xf>
    <xf numFmtId="37" fontId="2" fillId="0" borderId="32" xfId="82" applyNumberFormat="1" applyFont="1" applyFill="1" applyBorder="1">
      <alignment/>
      <protection/>
    </xf>
    <xf numFmtId="5" fontId="2" fillId="0" borderId="32" xfId="82" applyNumberFormat="1" applyFont="1" applyFill="1" applyBorder="1">
      <alignment/>
      <protection/>
    </xf>
    <xf numFmtId="37" fontId="2" fillId="0" borderId="40" xfId="82" applyNumberFormat="1" applyFont="1" applyFill="1" applyBorder="1">
      <alignment/>
      <protection/>
    </xf>
    <xf numFmtId="5" fontId="2" fillId="0" borderId="41" xfId="82" applyNumberFormat="1" applyFont="1" applyFill="1" applyBorder="1">
      <alignment/>
      <protection/>
    </xf>
    <xf numFmtId="5" fontId="2" fillId="0" borderId="10" xfId="82" applyNumberFormat="1" applyFont="1" applyFill="1" applyBorder="1">
      <alignment/>
      <protection/>
    </xf>
    <xf numFmtId="37" fontId="9" fillId="0" borderId="0" xfId="0" applyNumberFormat="1" applyFont="1" applyFill="1" applyBorder="1" applyAlignment="1">
      <alignment horizontal="center" wrapText="1"/>
    </xf>
    <xf numFmtId="37" fontId="46" fillId="0" borderId="11" xfId="0" applyNumberFormat="1" applyFont="1" applyFill="1" applyBorder="1" applyAlignment="1">
      <alignment horizontal="center" vertical="center" wrapText="1"/>
    </xf>
    <xf numFmtId="0" fontId="9" fillId="0" borderId="15" xfId="82" applyFont="1" applyFill="1" applyBorder="1">
      <alignment/>
      <protection/>
    </xf>
    <xf numFmtId="0" fontId="0" fillId="0" borderId="15" xfId="82" applyFont="1" applyFill="1" applyBorder="1" applyAlignment="1">
      <alignment horizontal="center" wrapText="1"/>
      <protection/>
    </xf>
    <xf numFmtId="0" fontId="98" fillId="0" borderId="15" xfId="82" applyFont="1" applyFill="1" applyBorder="1" applyAlignment="1">
      <alignment horizontal="center" vertical="center" wrapText="1"/>
      <protection/>
    </xf>
    <xf numFmtId="0" fontId="9" fillId="0" borderId="15" xfId="82" applyFont="1" applyFill="1" applyBorder="1" applyAlignment="1">
      <alignment horizontal="center" wrapText="1"/>
      <protection/>
    </xf>
    <xf numFmtId="0" fontId="0" fillId="0" borderId="15" xfId="82" applyFont="1" applyFill="1" applyBorder="1">
      <alignment/>
      <protection/>
    </xf>
    <xf numFmtId="0" fontId="0" fillId="0" borderId="42" xfId="82" applyFont="1" applyFill="1" applyBorder="1" applyAlignment="1">
      <alignment horizontal="center" wrapText="1"/>
      <protection/>
    </xf>
    <xf numFmtId="0" fontId="0" fillId="0" borderId="43" xfId="82" applyFont="1" applyFill="1" applyBorder="1" applyAlignment="1">
      <alignment horizontal="center" wrapText="1"/>
      <protection/>
    </xf>
    <xf numFmtId="37" fontId="5" fillId="0" borderId="15" xfId="73" applyNumberFormat="1" applyFont="1" applyFill="1" applyBorder="1" applyAlignment="1">
      <alignment horizontal="center" vertical="center" wrapText="1"/>
      <protection/>
    </xf>
    <xf numFmtId="0" fontId="5" fillId="0" borderId="16" xfId="82" applyFont="1" applyFill="1" applyBorder="1" applyAlignment="1">
      <alignment horizontal="center" vertical="center" wrapText="1"/>
      <protection/>
    </xf>
    <xf numFmtId="0" fontId="9" fillId="0" borderId="16" xfId="82" applyFont="1" applyFill="1" applyBorder="1" applyAlignment="1">
      <alignment horizontal="center" wrapText="1"/>
      <protection/>
    </xf>
    <xf numFmtId="5" fontId="9" fillId="0" borderId="15" xfId="82" applyNumberFormat="1" applyFont="1" applyFill="1" applyBorder="1">
      <alignment/>
      <protection/>
    </xf>
    <xf numFmtId="5" fontId="9" fillId="0" borderId="16" xfId="82" applyNumberFormat="1" applyFont="1" applyFill="1" applyBorder="1">
      <alignment/>
      <protection/>
    </xf>
    <xf numFmtId="37" fontId="9" fillId="0" borderId="15" xfId="82" applyNumberFormat="1" applyFont="1" applyFill="1" applyBorder="1">
      <alignment/>
      <protection/>
    </xf>
    <xf numFmtId="37" fontId="9" fillId="0" borderId="16" xfId="82" applyNumberFormat="1" applyFont="1" applyFill="1" applyBorder="1">
      <alignment/>
      <protection/>
    </xf>
    <xf numFmtId="37" fontId="0" fillId="0" borderId="15" xfId="82" applyNumberFormat="1" applyFont="1" applyFill="1" applyBorder="1">
      <alignment/>
      <protection/>
    </xf>
    <xf numFmtId="37" fontId="0" fillId="0" borderId="16" xfId="82" applyNumberFormat="1" applyFont="1" applyFill="1" applyBorder="1">
      <alignment/>
      <protection/>
    </xf>
    <xf numFmtId="0" fontId="0" fillId="0" borderId="16" xfId="82" applyFont="1" applyFill="1" applyBorder="1">
      <alignment/>
      <protection/>
    </xf>
    <xf numFmtId="5" fontId="0" fillId="0" borderId="44" xfId="82" applyNumberFormat="1" applyFont="1" applyFill="1" applyBorder="1">
      <alignment/>
      <protection/>
    </xf>
    <xf numFmtId="5" fontId="0" fillId="0" borderId="45" xfId="82" applyNumberFormat="1" applyFont="1" applyFill="1" applyBorder="1">
      <alignment/>
      <protection/>
    </xf>
    <xf numFmtId="5" fontId="0" fillId="0" borderId="15" xfId="82" applyNumberFormat="1" applyFont="1" applyFill="1" applyBorder="1">
      <alignment/>
      <protection/>
    </xf>
    <xf numFmtId="37" fontId="0" fillId="0" borderId="17" xfId="82" applyNumberFormat="1" applyFont="1" applyFill="1" applyBorder="1">
      <alignment/>
      <protection/>
    </xf>
    <xf numFmtId="37" fontId="0" fillId="0" borderId="19" xfId="82" applyNumberFormat="1" applyFont="1" applyFill="1" applyBorder="1">
      <alignment/>
      <protection/>
    </xf>
    <xf numFmtId="5" fontId="87" fillId="0" borderId="31" xfId="52" applyNumberFormat="1" applyFont="1" applyFill="1" applyBorder="1" applyAlignment="1">
      <alignment/>
    </xf>
    <xf numFmtId="5" fontId="87" fillId="0" borderId="33" xfId="52" applyNumberFormat="1" applyFont="1" applyFill="1" applyBorder="1" applyAlignment="1">
      <alignment/>
    </xf>
    <xf numFmtId="37" fontId="93" fillId="0" borderId="11" xfId="54" applyNumberFormat="1" applyFont="1" applyFill="1" applyBorder="1" applyAlignment="1" quotePrefix="1">
      <alignment horizontal="center"/>
    </xf>
    <xf numFmtId="5" fontId="105" fillId="0" borderId="11" xfId="54" applyNumberFormat="1" applyFont="1" applyFill="1" applyBorder="1" applyAlignment="1">
      <alignment/>
    </xf>
    <xf numFmtId="37" fontId="105" fillId="0" borderId="11" xfId="54" applyNumberFormat="1" applyFont="1" applyFill="1" applyBorder="1" applyAlignment="1">
      <alignment/>
    </xf>
    <xf numFmtId="5" fontId="105" fillId="0" borderId="31" xfId="54" applyNumberFormat="1" applyFont="1" applyFill="1" applyBorder="1" applyAlignment="1">
      <alignment/>
    </xf>
    <xf numFmtId="37" fontId="100" fillId="34" borderId="0" xfId="83" applyNumberFormat="1" applyFont="1" applyFill="1" applyBorder="1" applyAlignment="1">
      <alignment horizontal="center" vertical="center"/>
      <protection/>
    </xf>
    <xf numFmtId="37" fontId="89" fillId="34" borderId="15" xfId="83" applyNumberFormat="1" applyFont="1" applyFill="1" applyBorder="1">
      <alignment/>
      <protection/>
    </xf>
    <xf numFmtId="37" fontId="89" fillId="34" borderId="0" xfId="83" applyNumberFormat="1" applyFont="1" applyFill="1" applyBorder="1">
      <alignment/>
      <protection/>
    </xf>
    <xf numFmtId="37" fontId="91" fillId="34" borderId="0" xfId="54" applyNumberFormat="1" applyFont="1" applyFill="1" applyBorder="1" applyAlignment="1" quotePrefix="1">
      <alignment horizontal="center"/>
    </xf>
    <xf numFmtId="5" fontId="87" fillId="34" borderId="15" xfId="83" applyNumberFormat="1" applyFont="1" applyFill="1" applyBorder="1">
      <alignment/>
      <protection/>
    </xf>
    <xf numFmtId="5" fontId="87" fillId="34" borderId="0" xfId="83" applyNumberFormat="1" applyFont="1" applyFill="1" applyBorder="1">
      <alignment/>
      <protection/>
    </xf>
    <xf numFmtId="5" fontId="87" fillId="34" borderId="0" xfId="54" applyNumberFormat="1" applyFont="1" applyFill="1" applyBorder="1" applyAlignment="1">
      <alignment/>
    </xf>
    <xf numFmtId="37" fontId="87" fillId="34" borderId="15" xfId="83" applyNumberFormat="1" applyFont="1" applyFill="1" applyBorder="1">
      <alignment/>
      <protection/>
    </xf>
    <xf numFmtId="37" fontId="87" fillId="34" borderId="0" xfId="83" applyNumberFormat="1" applyFont="1" applyFill="1" applyBorder="1">
      <alignment/>
      <protection/>
    </xf>
    <xf numFmtId="37" fontId="87" fillId="34" borderId="0" xfId="54" applyNumberFormat="1" applyFont="1" applyFill="1" applyBorder="1" applyAlignment="1">
      <alignment/>
    </xf>
    <xf numFmtId="37" fontId="87" fillId="34" borderId="44" xfId="83" applyNumberFormat="1" applyFont="1" applyFill="1" applyBorder="1">
      <alignment/>
      <protection/>
    </xf>
    <xf numFmtId="37" fontId="87" fillId="34" borderId="30" xfId="83" applyNumberFormat="1" applyFont="1" applyFill="1" applyBorder="1">
      <alignment/>
      <protection/>
    </xf>
    <xf numFmtId="5" fontId="87" fillId="34" borderId="30" xfId="54" applyNumberFormat="1" applyFont="1" applyFill="1" applyBorder="1" applyAlignment="1">
      <alignment/>
    </xf>
    <xf numFmtId="37" fontId="0" fillId="34" borderId="15" xfId="73" applyNumberFormat="1" applyFont="1" applyFill="1" applyBorder="1" applyAlignment="1">
      <alignment/>
      <protection/>
    </xf>
    <xf numFmtId="37" fontId="87" fillId="34" borderId="18" xfId="83" applyNumberFormat="1" applyFont="1" applyFill="1" applyBorder="1">
      <alignment/>
      <protection/>
    </xf>
    <xf numFmtId="37" fontId="87" fillId="34" borderId="18" xfId="54" applyNumberFormat="1" applyFont="1" applyFill="1" applyBorder="1" applyAlignment="1">
      <alignment/>
    </xf>
    <xf numFmtId="37" fontId="89" fillId="34" borderId="15" xfId="83" applyNumberFormat="1" applyFont="1" applyFill="1" applyBorder="1" applyAlignment="1">
      <alignment horizontal="center" wrapText="1"/>
      <protection/>
    </xf>
    <xf numFmtId="37" fontId="89" fillId="34" borderId="0" xfId="83" applyNumberFormat="1" applyFont="1" applyFill="1" applyBorder="1" applyAlignment="1">
      <alignment wrapText="1"/>
      <protection/>
    </xf>
    <xf numFmtId="37" fontId="89" fillId="34" borderId="0" xfId="54" applyNumberFormat="1" applyFont="1" applyFill="1" applyBorder="1" applyAlignment="1">
      <alignment horizontal="center" wrapText="1"/>
    </xf>
    <xf numFmtId="37" fontId="8" fillId="0" borderId="11" xfId="0" applyNumberFormat="1" applyFont="1" applyFill="1" applyBorder="1" applyAlignment="1">
      <alignment horizontal="center" wrapText="1"/>
    </xf>
    <xf numFmtId="37" fontId="9" fillId="34" borderId="0" xfId="0" applyNumberFormat="1" applyFont="1" applyFill="1" applyBorder="1" applyAlignment="1">
      <alignment horizontal="center" wrapText="1"/>
    </xf>
    <xf numFmtId="10" fontId="0" fillId="34" borderId="0" xfId="73" applyNumberFormat="1" applyFont="1" applyFill="1" applyBorder="1">
      <alignment/>
      <protection/>
    </xf>
    <xf numFmtId="5" fontId="102" fillId="34" borderId="0" xfId="54" applyNumberFormat="1" applyFont="1" applyFill="1" applyBorder="1" applyAlignment="1">
      <alignment/>
    </xf>
    <xf numFmtId="37" fontId="102" fillId="34" borderId="0" xfId="54" applyNumberFormat="1" applyFont="1" applyFill="1" applyBorder="1" applyAlignment="1">
      <alignment/>
    </xf>
    <xf numFmtId="10" fontId="87" fillId="34" borderId="0" xfId="54" applyNumberFormat="1" applyFont="1" applyFill="1" applyBorder="1" applyAlignment="1">
      <alignment/>
    </xf>
    <xf numFmtId="10" fontId="87" fillId="34" borderId="30" xfId="54" applyNumberFormat="1" applyFont="1" applyFill="1" applyBorder="1" applyAlignment="1">
      <alignment/>
    </xf>
    <xf numFmtId="10" fontId="87" fillId="34" borderId="18" xfId="54" applyNumberFormat="1" applyFont="1" applyFill="1" applyBorder="1" applyAlignment="1">
      <alignment/>
    </xf>
    <xf numFmtId="37" fontId="102" fillId="34" borderId="18" xfId="54" applyNumberFormat="1" applyFont="1" applyFill="1" applyBorder="1" applyAlignment="1">
      <alignment/>
    </xf>
    <xf numFmtId="37" fontId="17" fillId="34" borderId="0" xfId="0" applyNumberFormat="1" applyFont="1" applyFill="1" applyBorder="1" applyAlignment="1">
      <alignment horizontal="center" wrapText="1"/>
    </xf>
    <xf numFmtId="37" fontId="92" fillId="34" borderId="0" xfId="54" applyNumberFormat="1" applyFont="1" applyFill="1" applyBorder="1" applyAlignment="1" quotePrefix="1">
      <alignment horizontal="center" vertical="center"/>
    </xf>
    <xf numFmtId="37" fontId="105" fillId="0" borderId="16" xfId="54" applyNumberFormat="1" applyFont="1" applyFill="1" applyBorder="1" applyAlignment="1">
      <alignment/>
    </xf>
    <xf numFmtId="37" fontId="105" fillId="0" borderId="19" xfId="54" applyNumberFormat="1" applyFont="1" applyFill="1" applyBorder="1" applyAlignment="1">
      <alignment/>
    </xf>
    <xf numFmtId="37" fontId="87" fillId="34" borderId="10" xfId="83" applyNumberFormat="1" applyFont="1" applyFill="1" applyBorder="1">
      <alignment/>
      <protection/>
    </xf>
    <xf numFmtId="5" fontId="87" fillId="34" borderId="10" xfId="54" applyNumberFormat="1" applyFont="1" applyFill="1" applyBorder="1" applyAlignment="1">
      <alignment/>
    </xf>
    <xf numFmtId="10" fontId="87" fillId="34" borderId="10" xfId="54" applyNumberFormat="1" applyFont="1" applyFill="1" applyBorder="1" applyAlignment="1">
      <alignment/>
    </xf>
    <xf numFmtId="5" fontId="102" fillId="34" borderId="10" xfId="54" applyNumberFormat="1" applyFont="1" applyFill="1" applyBorder="1" applyAlignment="1">
      <alignment/>
    </xf>
    <xf numFmtId="5" fontId="105" fillId="0" borderId="46" xfId="54" applyNumberFormat="1" applyFont="1" applyFill="1" applyBorder="1" applyAlignment="1">
      <alignment/>
    </xf>
    <xf numFmtId="5" fontId="87" fillId="34" borderId="10" xfId="83" applyNumberFormat="1" applyFont="1" applyFill="1" applyBorder="1">
      <alignment/>
      <protection/>
    </xf>
    <xf numFmtId="5" fontId="87" fillId="34" borderId="30" xfId="83" applyNumberFormat="1" applyFont="1" applyFill="1" applyBorder="1">
      <alignment/>
      <protection/>
    </xf>
    <xf numFmtId="37" fontId="102" fillId="34" borderId="16" xfId="54" applyNumberFormat="1" applyFont="1" applyFill="1" applyBorder="1" applyAlignment="1">
      <alignment/>
    </xf>
    <xf numFmtId="37" fontId="102" fillId="34" borderId="19" xfId="54" applyNumberFormat="1" applyFont="1" applyFill="1" applyBorder="1" applyAlignment="1">
      <alignment/>
    </xf>
    <xf numFmtId="5" fontId="102" fillId="34" borderId="46" xfId="54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 horizontal="center" vertical="center" wrapText="1"/>
    </xf>
    <xf numFmtId="37" fontId="102" fillId="0" borderId="11" xfId="54" applyNumberFormat="1" applyFont="1" applyFill="1" applyBorder="1" applyAlignment="1">
      <alignment/>
    </xf>
    <xf numFmtId="37" fontId="87" fillId="0" borderId="10" xfId="83" applyNumberFormat="1" applyFont="1" applyFill="1" applyBorder="1">
      <alignment/>
      <protection/>
    </xf>
    <xf numFmtId="37" fontId="89" fillId="0" borderId="0" xfId="83" applyNumberFormat="1" applyFont="1" applyFill="1" applyBorder="1" applyAlignment="1">
      <alignment horizontal="center" wrapText="1"/>
      <protection/>
    </xf>
    <xf numFmtId="37" fontId="100" fillId="0" borderId="0" xfId="83" applyNumberFormat="1" applyFont="1" applyFill="1" applyBorder="1" applyAlignment="1">
      <alignment horizontal="center" vertical="center"/>
      <protection/>
    </xf>
    <xf numFmtId="37" fontId="89" fillId="0" borderId="0" xfId="83" applyNumberFormat="1" applyFont="1" applyFill="1" applyBorder="1">
      <alignment/>
      <protection/>
    </xf>
    <xf numFmtId="5" fontId="87" fillId="0" borderId="0" xfId="83" applyNumberFormat="1" applyFont="1" applyFill="1" applyBorder="1">
      <alignment/>
      <protection/>
    </xf>
    <xf numFmtId="37" fontId="87" fillId="0" borderId="18" xfId="83" applyNumberFormat="1" applyFont="1" applyFill="1" applyBorder="1">
      <alignment/>
      <protection/>
    </xf>
    <xf numFmtId="37" fontId="87" fillId="34" borderId="17" xfId="83" applyNumberFormat="1" applyFont="1" applyFill="1" applyBorder="1">
      <alignment/>
      <protection/>
    </xf>
    <xf numFmtId="37" fontId="87" fillId="34" borderId="14" xfId="83" applyNumberFormat="1" applyFont="1" applyFill="1" applyBorder="1">
      <alignment/>
      <protection/>
    </xf>
    <xf numFmtId="37" fontId="8" fillId="0" borderId="0" xfId="0" applyNumberFormat="1" applyFont="1" applyFill="1" applyBorder="1" applyAlignment="1">
      <alignment horizontal="center" wrapText="1"/>
    </xf>
    <xf numFmtId="37" fontId="106" fillId="0" borderId="0" xfId="54" applyNumberFormat="1" applyFont="1" applyFill="1" applyBorder="1" applyAlignment="1" quotePrefix="1">
      <alignment horizontal="center" vertical="center"/>
    </xf>
    <xf numFmtId="37" fontId="93" fillId="0" borderId="0" xfId="54" applyNumberFormat="1" applyFont="1" applyFill="1" applyBorder="1" applyAlignment="1" quotePrefix="1">
      <alignment horizontal="center"/>
    </xf>
    <xf numFmtId="5" fontId="105" fillId="0" borderId="0" xfId="54" applyNumberFormat="1" applyFont="1" applyFill="1" applyBorder="1" applyAlignment="1">
      <alignment/>
    </xf>
    <xf numFmtId="37" fontId="105" fillId="0" borderId="0" xfId="54" applyNumberFormat="1" applyFont="1" applyFill="1" applyBorder="1" applyAlignment="1">
      <alignment/>
    </xf>
    <xf numFmtId="5" fontId="105" fillId="0" borderId="30" xfId="54" applyNumberFormat="1" applyFont="1" applyFill="1" applyBorder="1" applyAlignment="1">
      <alignment/>
    </xf>
    <xf numFmtId="37" fontId="105" fillId="0" borderId="18" xfId="54" applyNumberFormat="1" applyFont="1" applyFill="1" applyBorder="1" applyAlignment="1">
      <alignment/>
    </xf>
    <xf numFmtId="5" fontId="105" fillId="0" borderId="32" xfId="54" applyNumberFormat="1" applyFont="1" applyFill="1" applyBorder="1" applyAlignment="1">
      <alignment/>
    </xf>
    <xf numFmtId="37" fontId="3" fillId="0" borderId="0" xfId="0" applyNumberFormat="1" applyFont="1" applyFill="1" applyAlignment="1" quotePrefix="1">
      <alignment horizontal="center"/>
    </xf>
    <xf numFmtId="5" fontId="102" fillId="0" borderId="0" xfId="42" applyNumberFormat="1" applyFont="1" applyFill="1" applyBorder="1" applyAlignment="1">
      <alignment/>
    </xf>
    <xf numFmtId="37" fontId="89" fillId="0" borderId="31" xfId="83" applyNumberFormat="1" applyFont="1" applyFill="1" applyBorder="1" applyAlignment="1">
      <alignment horizontal="center" wrapText="1"/>
      <protection/>
    </xf>
    <xf numFmtId="37" fontId="8" fillId="0" borderId="3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>
      <alignment horizontal="center" wrapText="1"/>
    </xf>
    <xf numFmtId="37" fontId="92" fillId="34" borderId="15" xfId="83" applyNumberFormat="1" applyFont="1" applyFill="1" applyBorder="1" applyAlignment="1">
      <alignment horizontal="center" vertical="center" wrapText="1"/>
      <protection/>
    </xf>
    <xf numFmtId="37" fontId="92" fillId="0" borderId="11" xfId="54" applyNumberFormat="1" applyFont="1" applyFill="1" applyBorder="1" applyAlignment="1" quotePrefix="1">
      <alignment horizontal="center" vertical="center"/>
    </xf>
    <xf numFmtId="5" fontId="2" fillId="0" borderId="46" xfId="82" applyNumberFormat="1" applyFont="1" applyFill="1" applyBorder="1">
      <alignment/>
      <protection/>
    </xf>
    <xf numFmtId="0" fontId="87" fillId="0" borderId="12" xfId="73" applyFont="1" applyFill="1" applyBorder="1" applyAlignment="1" quotePrefix="1">
      <alignment horizontal="centerContinuous"/>
      <protection/>
    </xf>
    <xf numFmtId="0" fontId="87" fillId="0" borderId="47" xfId="73" applyFont="1" applyFill="1" applyBorder="1" applyAlignment="1" quotePrefix="1">
      <alignment horizontal="centerContinuous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/>
    </xf>
    <xf numFmtId="164" fontId="0" fillId="0" borderId="0" xfId="95" applyNumberFormat="1" applyFont="1" applyFill="1" applyAlignment="1">
      <alignment/>
    </xf>
    <xf numFmtId="0" fontId="0" fillId="0" borderId="27" xfId="82" applyFont="1" applyFill="1" applyBorder="1">
      <alignment/>
      <protection/>
    </xf>
    <xf numFmtId="37" fontId="0" fillId="0" borderId="0" xfId="0" applyNumberFormat="1" applyFont="1" applyFill="1" applyAlignment="1">
      <alignment horizontal="right"/>
    </xf>
    <xf numFmtId="37" fontId="49" fillId="0" borderId="0" xfId="0" applyNumberFormat="1" applyFont="1" applyFill="1" applyAlignment="1">
      <alignment horizontal="right"/>
    </xf>
    <xf numFmtId="37" fontId="50" fillId="0" borderId="0" xfId="0" applyNumberFormat="1" applyFont="1" applyFill="1" applyAlignment="1">
      <alignment horizontal="left"/>
    </xf>
    <xf numFmtId="37" fontId="0" fillId="0" borderId="10" xfId="0" applyNumberFormat="1" applyFont="1" applyFill="1" applyBorder="1" applyAlignment="1">
      <alignment horizontal="center" wrapText="1"/>
    </xf>
    <xf numFmtId="0" fontId="87" fillId="0" borderId="14" xfId="73" applyFont="1" applyFill="1" applyBorder="1" applyAlignment="1">
      <alignment horizontal="centerContinuous" wrapText="1"/>
      <protection/>
    </xf>
    <xf numFmtId="0" fontId="87" fillId="0" borderId="10" xfId="73" applyFont="1" applyFill="1" applyBorder="1" applyAlignment="1">
      <alignment horizontal="centerContinuous"/>
      <protection/>
    </xf>
    <xf numFmtId="37" fontId="8" fillId="0" borderId="48" xfId="0" applyNumberFormat="1" applyFont="1" applyFill="1" applyBorder="1" applyAlignment="1">
      <alignment horizontal="center" vertical="center"/>
    </xf>
    <xf numFmtId="37" fontId="8" fillId="0" borderId="18" xfId="0" applyNumberFormat="1" applyFont="1" applyFill="1" applyBorder="1" applyAlignment="1" quotePrefix="1">
      <alignment horizontal="center" vertical="center"/>
    </xf>
    <xf numFmtId="37" fontId="8" fillId="0" borderId="3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 vertical="center"/>
    </xf>
    <xf numFmtId="37" fontId="48" fillId="0" borderId="18" xfId="0" applyNumberFormat="1" applyFont="1" applyFill="1" applyBorder="1" applyAlignment="1">
      <alignment horizontal="center"/>
    </xf>
    <xf numFmtId="37" fontId="87" fillId="0" borderId="0" xfId="77" applyNumberFormat="1" applyFont="1" applyFill="1" applyAlignment="1">
      <alignment horizontal="left" vertical="top" wrapText="1"/>
      <protection/>
    </xf>
    <xf numFmtId="37" fontId="107" fillId="0" borderId="0" xfId="0" applyNumberFormat="1" applyFont="1" applyFill="1" applyAlignment="1">
      <alignment horizontal="left" vertical="top" wrapText="1"/>
    </xf>
    <xf numFmtId="37" fontId="9" fillId="0" borderId="0" xfId="0" applyNumberFormat="1" applyFont="1" applyFill="1" applyBorder="1" applyAlignment="1">
      <alignment horizontal="center" wrapText="1"/>
    </xf>
    <xf numFmtId="37" fontId="36" fillId="0" borderId="0" xfId="0" applyNumberFormat="1" applyFont="1" applyFill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37" fontId="5" fillId="34" borderId="0" xfId="73" applyNumberFormat="1" applyFont="1" applyFill="1" applyBorder="1" applyAlignment="1">
      <alignment horizontal="center" vertical="center" wrapText="1"/>
      <protection/>
    </xf>
    <xf numFmtId="37" fontId="9" fillId="34" borderId="0" xfId="0" applyNumberFormat="1" applyFont="1" applyFill="1" applyBorder="1" applyAlignment="1">
      <alignment horizontal="center" wrapText="1"/>
    </xf>
    <xf numFmtId="37" fontId="3" fillId="0" borderId="10" xfId="0" applyNumberFormat="1" applyFont="1" applyFill="1" applyBorder="1" applyAlignment="1">
      <alignment horizontal="center"/>
    </xf>
    <xf numFmtId="37" fontId="88" fillId="0" borderId="10" xfId="83" applyNumberFormat="1" applyFont="1" applyFill="1" applyBorder="1" applyAlignment="1">
      <alignment horizontal="center"/>
      <protection/>
    </xf>
    <xf numFmtId="0" fontId="8" fillId="0" borderId="26" xfId="82" applyFont="1" applyFill="1" applyBorder="1" applyAlignment="1">
      <alignment horizontal="center"/>
      <protection/>
    </xf>
    <xf numFmtId="0" fontId="8" fillId="0" borderId="22" xfId="82" applyFont="1" applyFill="1" applyBorder="1" applyAlignment="1">
      <alignment horizontal="center"/>
      <protection/>
    </xf>
    <xf numFmtId="0" fontId="8" fillId="0" borderId="49" xfId="82" applyFont="1" applyFill="1" applyBorder="1" applyAlignment="1">
      <alignment horizontal="center"/>
      <protection/>
    </xf>
    <xf numFmtId="0" fontId="3" fillId="0" borderId="26" xfId="82" applyFont="1" applyFill="1" applyBorder="1" applyAlignment="1">
      <alignment horizontal="center"/>
      <protection/>
    </xf>
    <xf numFmtId="0" fontId="3" fillId="0" borderId="22" xfId="82" applyFont="1" applyFill="1" applyBorder="1" applyAlignment="1">
      <alignment horizontal="center"/>
      <protection/>
    </xf>
    <xf numFmtId="0" fontId="8" fillId="0" borderId="20" xfId="82" applyFont="1" applyFill="1" applyBorder="1" applyAlignment="1">
      <alignment horizontal="center"/>
      <protection/>
    </xf>
    <xf numFmtId="0" fontId="8" fillId="0" borderId="29" xfId="82" applyFont="1" applyFill="1" applyBorder="1" applyAlignment="1">
      <alignment horizontal="center"/>
      <protection/>
    </xf>
    <xf numFmtId="0" fontId="8" fillId="0" borderId="50" xfId="82" applyFont="1" applyFill="1" applyBorder="1" applyAlignment="1">
      <alignment horizontal="center"/>
      <protection/>
    </xf>
    <xf numFmtId="0" fontId="88" fillId="0" borderId="44" xfId="73" applyFont="1" applyFill="1" applyBorder="1" applyAlignment="1" quotePrefix="1">
      <alignment horizontal="center" wrapText="1"/>
      <protection/>
    </xf>
    <xf numFmtId="0" fontId="88" fillId="0" borderId="30" xfId="73" applyFont="1" applyFill="1" applyBorder="1" applyAlignment="1" quotePrefix="1">
      <alignment horizontal="center" wrapText="1"/>
      <protection/>
    </xf>
    <xf numFmtId="0" fontId="88" fillId="0" borderId="45" xfId="73" applyFont="1" applyFill="1" applyBorder="1" applyAlignment="1" quotePrefix="1">
      <alignment horizontal="center" wrapText="1"/>
      <protection/>
    </xf>
    <xf numFmtId="0" fontId="87" fillId="0" borderId="14" xfId="73" applyFont="1" applyFill="1" applyBorder="1" applyAlignment="1">
      <alignment horizontal="center" wrapText="1"/>
      <protection/>
    </xf>
    <xf numFmtId="0" fontId="87" fillId="0" borderId="51" xfId="73" applyFont="1" applyFill="1" applyBorder="1" applyAlignment="1">
      <alignment horizontal="center" wrapText="1"/>
      <protection/>
    </xf>
    <xf numFmtId="0" fontId="87" fillId="0" borderId="52" xfId="73" applyFont="1" applyFill="1" applyBorder="1" applyAlignment="1">
      <alignment horizontal="center" wrapText="1"/>
      <protection/>
    </xf>
    <xf numFmtId="0" fontId="87" fillId="0" borderId="46" xfId="73" applyFont="1" applyFill="1" applyBorder="1" applyAlignment="1">
      <alignment horizontal="center" wrapText="1"/>
      <protection/>
    </xf>
    <xf numFmtId="0" fontId="88" fillId="0" borderId="14" xfId="73" applyFont="1" applyFill="1" applyBorder="1" applyAlignment="1">
      <alignment horizontal="center" wrapText="1"/>
      <protection/>
    </xf>
    <xf numFmtId="0" fontId="88" fillId="0" borderId="10" xfId="73" applyFont="1" applyFill="1" applyBorder="1" applyAlignment="1">
      <alignment horizontal="center" wrapText="1"/>
      <protection/>
    </xf>
    <xf numFmtId="0" fontId="88" fillId="0" borderId="51" xfId="73" applyFont="1" applyFill="1" applyBorder="1" applyAlignment="1">
      <alignment horizontal="center" wrapText="1"/>
      <protection/>
    </xf>
    <xf numFmtId="0" fontId="89" fillId="0" borderId="14" xfId="73" applyFont="1" applyFill="1" applyBorder="1" applyAlignment="1" quotePrefix="1">
      <alignment horizontal="center" wrapText="1"/>
      <protection/>
    </xf>
    <xf numFmtId="0" fontId="89" fillId="0" borderId="51" xfId="73" applyFont="1" applyFill="1" applyBorder="1" applyAlignment="1" quotePrefix="1">
      <alignment horizont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6" xfId="50"/>
    <cellStyle name="Comma 6 2" xfId="51"/>
    <cellStyle name="Comma 7" xfId="52"/>
    <cellStyle name="Comma 7 2" xfId="53"/>
    <cellStyle name="Comma 7 3" xfId="54"/>
    <cellStyle name="Comma 7 4" xfId="55"/>
    <cellStyle name="Comma 8" xfId="56"/>
    <cellStyle name="Currency" xfId="57"/>
    <cellStyle name="Currency [0]" xfId="58"/>
    <cellStyle name="Currency 2" xfId="59"/>
    <cellStyle name="Currency 2 2" xfId="60"/>
    <cellStyle name="Currency 3" xfId="61"/>
    <cellStyle name="Currency 3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 4" xfId="75"/>
    <cellStyle name="Normal 4 2" xfId="76"/>
    <cellStyle name="Normal 5" xfId="77"/>
    <cellStyle name="Normal 5 2" xfId="78"/>
    <cellStyle name="Normal 5 2 2" xfId="79"/>
    <cellStyle name="Normal 5 2 3" xfId="80"/>
    <cellStyle name="Normal 5 2 4" xfId="81"/>
    <cellStyle name="Normal 5 2 5" xfId="82"/>
    <cellStyle name="Normal 5 3" xfId="83"/>
    <cellStyle name="Normal 5 4" xfId="84"/>
    <cellStyle name="Normal 5 5" xfId="85"/>
    <cellStyle name="Normal 5 6" xfId="86"/>
    <cellStyle name="Normal 6" xfId="87"/>
    <cellStyle name="Normal 7" xfId="88"/>
    <cellStyle name="Normal 7 2" xfId="89"/>
    <cellStyle name="Normal 8" xfId="90"/>
    <cellStyle name="Normal 8 2" xfId="91"/>
    <cellStyle name="Normal 9" xfId="92"/>
    <cellStyle name="Note" xfId="93"/>
    <cellStyle name="Output" xfId="94"/>
    <cellStyle name="Percent" xfId="95"/>
    <cellStyle name="Percent 2" xfId="96"/>
    <cellStyle name="Percent 3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6" sqref="B6"/>
    </sheetView>
  </sheetViews>
  <sheetFormatPr defaultColWidth="9.33203125" defaultRowHeight="12.75"/>
  <cols>
    <col min="1" max="1" width="2.33203125" style="75" customWidth="1"/>
    <col min="2" max="2" width="26.83203125" style="75" customWidth="1"/>
    <col min="3" max="3" width="14.83203125" style="75" customWidth="1"/>
    <col min="4" max="4" width="1.83203125" style="75" customWidth="1"/>
    <col min="5" max="5" width="14.83203125" style="75" customWidth="1"/>
    <col min="6" max="6" width="13.33203125" style="75" customWidth="1"/>
    <col min="7" max="7" width="14.83203125" style="75" customWidth="1"/>
    <col min="8" max="8" width="3.83203125" style="216" customWidth="1"/>
    <col min="9" max="9" width="1.83203125" style="216" customWidth="1"/>
    <col min="10" max="10" width="14.83203125" style="75" customWidth="1"/>
    <col min="11" max="11" width="1.83203125" style="75" customWidth="1"/>
    <col min="12" max="12" width="14.83203125" style="75" customWidth="1"/>
    <col min="13" max="14" width="1.83203125" style="75" customWidth="1"/>
    <col min="15" max="15" width="14.83203125" style="75" customWidth="1"/>
    <col min="16" max="16" width="1.83203125" style="75" customWidth="1"/>
    <col min="17" max="17" width="3.83203125" style="216" customWidth="1"/>
    <col min="18" max="19" width="14.83203125" style="75" customWidth="1"/>
    <col min="20" max="20" width="13" style="75" bestFit="1" customWidth="1"/>
    <col min="21" max="21" width="14.83203125" style="75" customWidth="1"/>
    <col min="22" max="22" width="15" style="75" bestFit="1" customWidth="1"/>
    <col min="23" max="23" width="14" style="75" bestFit="1" customWidth="1"/>
    <col min="24" max="24" width="9.33203125" style="75" customWidth="1"/>
    <col min="25" max="25" width="14.83203125" style="75" customWidth="1"/>
    <col min="26" max="16384" width="9.33203125" style="75" customWidth="1"/>
  </cols>
  <sheetData>
    <row r="1" spans="2:19" ht="18" customHeight="1">
      <c r="B1" s="19" t="s">
        <v>71</v>
      </c>
      <c r="S1" s="20" t="s">
        <v>178</v>
      </c>
    </row>
    <row r="2" ht="15.75">
      <c r="B2" s="21"/>
    </row>
    <row r="3" spans="2:21" s="407" customFormat="1" ht="15" thickBot="1">
      <c r="B3" s="12"/>
      <c r="C3" s="2">
        <v>-1</v>
      </c>
      <c r="D3" s="2"/>
      <c r="E3" s="2">
        <v>-2</v>
      </c>
      <c r="F3" s="2">
        <v>-3</v>
      </c>
      <c r="G3" s="2">
        <v>-4</v>
      </c>
      <c r="H3" s="405"/>
      <c r="I3" s="406"/>
      <c r="J3" s="2">
        <v>-5</v>
      </c>
      <c r="K3" s="2"/>
      <c r="L3" s="160" t="s">
        <v>88</v>
      </c>
      <c r="M3" s="2"/>
      <c r="N3" s="2"/>
      <c r="O3" s="160" t="s">
        <v>93</v>
      </c>
      <c r="P3" s="2"/>
      <c r="Q3" s="3"/>
      <c r="R3" s="2">
        <v>-8</v>
      </c>
      <c r="S3" s="2">
        <v>-9</v>
      </c>
      <c r="T3" s="2">
        <v>-10</v>
      </c>
      <c r="U3" s="2">
        <v>-11</v>
      </c>
    </row>
    <row r="4" spans="3:21" s="274" customFormat="1" ht="15">
      <c r="C4" s="417" t="s">
        <v>73</v>
      </c>
      <c r="D4" s="417"/>
      <c r="E4" s="417"/>
      <c r="F4" s="417"/>
      <c r="G4" s="417"/>
      <c r="H4" s="275"/>
      <c r="I4" s="418" t="s">
        <v>75</v>
      </c>
      <c r="J4" s="418"/>
      <c r="K4" s="418"/>
      <c r="L4" s="418"/>
      <c r="M4" s="418"/>
      <c r="N4" s="418"/>
      <c r="O4" s="418"/>
      <c r="P4" s="418"/>
      <c r="Q4" s="275"/>
      <c r="R4" s="420" t="s">
        <v>74</v>
      </c>
      <c r="S4" s="420"/>
      <c r="T4" s="420"/>
      <c r="U4" s="420"/>
    </row>
    <row r="5" spans="3:20" s="274" customFormat="1" ht="15">
      <c r="C5" s="398"/>
      <c r="D5" s="398"/>
      <c r="E5" s="398"/>
      <c r="F5" s="398"/>
      <c r="G5" s="398"/>
      <c r="H5" s="275"/>
      <c r="I5" s="275"/>
      <c r="J5" s="419" t="s">
        <v>62</v>
      </c>
      <c r="K5" s="419"/>
      <c r="L5" s="419"/>
      <c r="M5" s="419"/>
      <c r="N5" s="276"/>
      <c r="O5" s="397" t="s">
        <v>64</v>
      </c>
      <c r="P5" s="277"/>
      <c r="Q5" s="275"/>
      <c r="R5" s="398"/>
      <c r="S5" s="398"/>
      <c r="T5" s="398"/>
    </row>
    <row r="6" spans="2:21" s="261" customFormat="1" ht="63.75" thickBot="1">
      <c r="B6" s="273"/>
      <c r="C6" s="273" t="s">
        <v>187</v>
      </c>
      <c r="D6" s="273"/>
      <c r="E6" s="414" t="s">
        <v>67</v>
      </c>
      <c r="F6" s="273" t="s">
        <v>142</v>
      </c>
      <c r="G6" s="273" t="s">
        <v>120</v>
      </c>
      <c r="H6" s="399"/>
      <c r="I6" s="399"/>
      <c r="J6" s="273" t="s">
        <v>63</v>
      </c>
      <c r="K6" s="273"/>
      <c r="L6" s="273" t="s">
        <v>155</v>
      </c>
      <c r="M6" s="273"/>
      <c r="N6" s="273"/>
      <c r="O6" s="414" t="s">
        <v>76</v>
      </c>
      <c r="P6" s="273"/>
      <c r="Q6" s="399"/>
      <c r="R6" s="273" t="s">
        <v>143</v>
      </c>
      <c r="S6" s="273" t="s">
        <v>68</v>
      </c>
      <c r="T6" s="414" t="s">
        <v>34</v>
      </c>
      <c r="U6" s="273" t="s">
        <v>137</v>
      </c>
    </row>
    <row r="7" spans="2:21" s="4" customFormat="1" ht="22.5">
      <c r="B7" s="5"/>
      <c r="C7" s="5"/>
      <c r="D7" s="5"/>
      <c r="E7" s="5"/>
      <c r="F7" s="5"/>
      <c r="G7" s="4" t="s">
        <v>33</v>
      </c>
      <c r="H7" s="5"/>
      <c r="I7" s="5"/>
      <c r="J7" s="4" t="s">
        <v>156</v>
      </c>
      <c r="L7" s="202" t="s">
        <v>177</v>
      </c>
      <c r="O7" s="4" t="s">
        <v>126</v>
      </c>
      <c r="Q7" s="5"/>
      <c r="R7" s="5" t="s">
        <v>127</v>
      </c>
      <c r="S7" s="5" t="s">
        <v>128</v>
      </c>
      <c r="T7" s="161" t="s">
        <v>66</v>
      </c>
      <c r="U7" s="5" t="s">
        <v>138</v>
      </c>
    </row>
    <row r="8" ht="9" customHeight="1"/>
    <row r="9" spans="2:24" s="73" customFormat="1" ht="12.75">
      <c r="B9" s="212" t="s">
        <v>0</v>
      </c>
      <c r="C9" s="212">
        <v>48741489</v>
      </c>
      <c r="D9" s="212"/>
      <c r="E9" s="72">
        <v>39960033</v>
      </c>
      <c r="F9" s="73">
        <v>3319971</v>
      </c>
      <c r="G9" s="73">
        <f>SUM(C9:F9)</f>
        <v>92021493</v>
      </c>
      <c r="H9" s="212"/>
      <c r="I9" s="212"/>
      <c r="J9" s="73">
        <f>'(B) Base Bud Adj'!R8</f>
        <v>-2364980</v>
      </c>
      <c r="L9" s="73">
        <f>'(C) 12-13 Expenditure Adjust.'!X8</f>
        <v>-3216700</v>
      </c>
      <c r="O9" s="73">
        <f>'(D) Tuition Revenue'!S8</f>
        <v>3570000</v>
      </c>
      <c r="Q9" s="212"/>
      <c r="R9" s="73">
        <f aca="true" t="shared" si="0" ref="R9:R31">C9+J9+L9</f>
        <v>43159809</v>
      </c>
      <c r="S9" s="73">
        <f aca="true" t="shared" si="1" ref="S9:S31">E9+O9</f>
        <v>43530033</v>
      </c>
      <c r="T9" s="73">
        <f aca="true" t="shared" si="2" ref="T9:T31">F9</f>
        <v>3319971</v>
      </c>
      <c r="U9" s="73">
        <f>SUM(R9:T9)</f>
        <v>90009813</v>
      </c>
      <c r="X9" s="408"/>
    </row>
    <row r="10" spans="2:25" ht="12.75">
      <c r="B10" s="216" t="s">
        <v>1</v>
      </c>
      <c r="C10" s="216">
        <v>44118320</v>
      </c>
      <c r="D10" s="216"/>
      <c r="E10" s="74">
        <v>19499000</v>
      </c>
      <c r="F10" s="75">
        <v>1449190</v>
      </c>
      <c r="G10" s="75">
        <f>SUM(C10:F10)</f>
        <v>65066510</v>
      </c>
      <c r="J10" s="75">
        <f>'(B) Base Bud Adj'!R9</f>
        <v>-217510</v>
      </c>
      <c r="L10" s="75">
        <f>'(C) 12-13 Expenditure Adjust.'!X9</f>
        <v>-3357100</v>
      </c>
      <c r="O10" s="75">
        <f>'(D) Tuition Revenue'!S9</f>
        <v>1863000</v>
      </c>
      <c r="R10" s="75">
        <f t="shared" si="0"/>
        <v>40543710</v>
      </c>
      <c r="S10" s="75">
        <f t="shared" si="1"/>
        <v>21362000</v>
      </c>
      <c r="T10" s="75">
        <f t="shared" si="2"/>
        <v>1449190</v>
      </c>
      <c r="U10" s="75">
        <f>SUM(R10:T10)</f>
        <v>63354900</v>
      </c>
      <c r="X10" s="408"/>
      <c r="Y10" s="73"/>
    </row>
    <row r="11" spans="2:25" ht="12.75">
      <c r="B11" s="216" t="s">
        <v>2</v>
      </c>
      <c r="C11" s="216">
        <v>81330222</v>
      </c>
      <c r="D11" s="216"/>
      <c r="E11" s="74">
        <v>81524000</v>
      </c>
      <c r="F11" s="75">
        <v>10366000</v>
      </c>
      <c r="G11" s="75">
        <f aca="true" t="shared" si="3" ref="G11:G31">SUM(C11:F11)</f>
        <v>173220222</v>
      </c>
      <c r="J11" s="75">
        <f>'(B) Base Bud Adj'!R10</f>
        <v>-4661590</v>
      </c>
      <c r="L11" s="75">
        <f>'(C) 12-13 Expenditure Adjust.'!X10</f>
        <v>-8471000</v>
      </c>
      <c r="O11" s="75">
        <f>'(D) Tuition Revenue'!S10</f>
        <v>7432000</v>
      </c>
      <c r="R11" s="75">
        <f t="shared" si="0"/>
        <v>68197632</v>
      </c>
      <c r="S11" s="75">
        <f t="shared" si="1"/>
        <v>88956000</v>
      </c>
      <c r="T11" s="75">
        <f t="shared" si="2"/>
        <v>10366000</v>
      </c>
      <c r="U11" s="75">
        <f aca="true" t="shared" si="4" ref="U11:U31">SUM(R11:T11)</f>
        <v>167519632</v>
      </c>
      <c r="X11" s="408"/>
      <c r="Y11" s="73"/>
    </row>
    <row r="12" spans="2:25" ht="12.75">
      <c r="B12" s="216" t="s">
        <v>3</v>
      </c>
      <c r="C12" s="216">
        <v>59766882</v>
      </c>
      <c r="D12" s="216"/>
      <c r="E12" s="74">
        <v>60718122</v>
      </c>
      <c r="F12" s="75">
        <v>3559620</v>
      </c>
      <c r="G12" s="75">
        <f t="shared" si="3"/>
        <v>124044624</v>
      </c>
      <c r="J12" s="75">
        <f>'(B) Base Bud Adj'!R11</f>
        <v>-3047030</v>
      </c>
      <c r="L12" s="75">
        <f>'(C) 12-13 Expenditure Adjust.'!X11</f>
        <v>-5032800</v>
      </c>
      <c r="O12" s="75">
        <f>'(D) Tuition Revenue'!S11</f>
        <v>4941000</v>
      </c>
      <c r="R12" s="75">
        <f t="shared" si="0"/>
        <v>51687052</v>
      </c>
      <c r="S12" s="75">
        <f t="shared" si="1"/>
        <v>65659122</v>
      </c>
      <c r="T12" s="75">
        <f t="shared" si="2"/>
        <v>3559620</v>
      </c>
      <c r="U12" s="75">
        <f t="shared" si="4"/>
        <v>120905794</v>
      </c>
      <c r="X12" s="408"/>
      <c r="Y12" s="73"/>
    </row>
    <row r="13" spans="2:25" ht="12.75">
      <c r="B13" s="216" t="s">
        <v>28</v>
      </c>
      <c r="C13" s="216">
        <v>64021941</v>
      </c>
      <c r="D13" s="216"/>
      <c r="E13" s="74">
        <v>76533000</v>
      </c>
      <c r="F13" s="75">
        <v>16723000</v>
      </c>
      <c r="G13" s="75">
        <f t="shared" si="3"/>
        <v>157277941</v>
      </c>
      <c r="J13" s="75">
        <f>'(B) Base Bud Adj'!R12</f>
        <v>-4287980</v>
      </c>
      <c r="L13" s="75">
        <f>'(C) 12-13 Expenditure Adjust.'!X12</f>
        <v>-8185400</v>
      </c>
      <c r="O13" s="75">
        <f>'(D) Tuition Revenue'!S12</f>
        <v>5615000</v>
      </c>
      <c r="R13" s="75">
        <f t="shared" si="0"/>
        <v>51548561</v>
      </c>
      <c r="S13" s="75">
        <f t="shared" si="1"/>
        <v>82148000</v>
      </c>
      <c r="T13" s="75">
        <f t="shared" si="2"/>
        <v>16723000</v>
      </c>
      <c r="U13" s="75">
        <f t="shared" si="4"/>
        <v>150419561</v>
      </c>
      <c r="X13" s="408"/>
      <c r="Y13" s="73"/>
    </row>
    <row r="14" spans="2:25" ht="12.75">
      <c r="B14" s="216" t="s">
        <v>4</v>
      </c>
      <c r="C14" s="216">
        <v>105923822</v>
      </c>
      <c r="D14" s="216"/>
      <c r="E14" s="74">
        <v>106228316</v>
      </c>
      <c r="F14" s="75">
        <v>12075068</v>
      </c>
      <c r="G14" s="75">
        <f t="shared" si="3"/>
        <v>224227206</v>
      </c>
      <c r="J14" s="75">
        <f>'(B) Base Bud Adj'!R13</f>
        <v>-5816390</v>
      </c>
      <c r="L14" s="75">
        <f>'(C) 12-13 Expenditure Adjust.'!X13</f>
        <v>-9311000</v>
      </c>
      <c r="O14" s="75">
        <f>'(D) Tuition Revenue'!S13</f>
        <v>9173000</v>
      </c>
      <c r="R14" s="75">
        <f t="shared" si="0"/>
        <v>90796432</v>
      </c>
      <c r="S14" s="75">
        <f t="shared" si="1"/>
        <v>115401316</v>
      </c>
      <c r="T14" s="75">
        <f t="shared" si="2"/>
        <v>12075068</v>
      </c>
      <c r="U14" s="75">
        <f t="shared" si="4"/>
        <v>218272816</v>
      </c>
      <c r="X14" s="408"/>
      <c r="Y14" s="73"/>
    </row>
    <row r="15" spans="2:25" ht="12.75">
      <c r="B15" s="216" t="s">
        <v>5</v>
      </c>
      <c r="C15" s="216">
        <v>116085961</v>
      </c>
      <c r="D15" s="216"/>
      <c r="E15" s="74">
        <v>182144148</v>
      </c>
      <c r="F15" s="75">
        <v>22937849</v>
      </c>
      <c r="G15" s="75">
        <f t="shared" si="3"/>
        <v>321167958</v>
      </c>
      <c r="J15" s="75">
        <f>'(B) Base Bud Adj'!R14</f>
        <v>-8478400</v>
      </c>
      <c r="L15" s="75">
        <f>'(C) 12-13 Expenditure Adjust.'!X14</f>
        <v>-14989000</v>
      </c>
      <c r="O15" s="75">
        <f>'(D) Tuition Revenue'!S14</f>
        <v>14800000</v>
      </c>
      <c r="R15" s="75">
        <f t="shared" si="0"/>
        <v>92618561</v>
      </c>
      <c r="S15" s="75">
        <f t="shared" si="1"/>
        <v>196944148</v>
      </c>
      <c r="T15" s="75">
        <f t="shared" si="2"/>
        <v>22937849</v>
      </c>
      <c r="U15" s="75">
        <f t="shared" si="4"/>
        <v>312500558</v>
      </c>
      <c r="X15" s="408"/>
      <c r="Y15" s="73"/>
    </row>
    <row r="16" spans="2:25" ht="12.75">
      <c r="B16" s="216" t="s">
        <v>6</v>
      </c>
      <c r="C16" s="216">
        <v>59408350</v>
      </c>
      <c r="D16" s="216"/>
      <c r="E16" s="74">
        <v>41674528</v>
      </c>
      <c r="F16" s="75">
        <v>8212463</v>
      </c>
      <c r="G16" s="75">
        <f t="shared" si="3"/>
        <v>109295341</v>
      </c>
      <c r="J16" s="75">
        <f>'(B) Base Bud Adj'!R15</f>
        <v>-2851740</v>
      </c>
      <c r="L16" s="75">
        <f>'(C) 12-13 Expenditure Adjust.'!X15</f>
        <v>-5803300</v>
      </c>
      <c r="O16" s="75">
        <f>'(D) Tuition Revenue'!S15</f>
        <v>3899000</v>
      </c>
      <c r="R16" s="75">
        <f t="shared" si="0"/>
        <v>50753310</v>
      </c>
      <c r="S16" s="75">
        <f t="shared" si="1"/>
        <v>45573528</v>
      </c>
      <c r="T16" s="75">
        <f t="shared" si="2"/>
        <v>8212463</v>
      </c>
      <c r="U16" s="75">
        <f t="shared" si="4"/>
        <v>104539301</v>
      </c>
      <c r="X16" s="408"/>
      <c r="Y16" s="73"/>
    </row>
    <row r="17" spans="2:25" ht="12.75">
      <c r="B17" s="216" t="s">
        <v>7</v>
      </c>
      <c r="C17" s="216">
        <v>131395036.16</v>
      </c>
      <c r="D17" s="216"/>
      <c r="E17" s="74">
        <v>177063000</v>
      </c>
      <c r="F17" s="75">
        <v>29391500</v>
      </c>
      <c r="G17" s="75">
        <f t="shared" si="3"/>
        <v>337849536.15999997</v>
      </c>
      <c r="J17" s="75">
        <f>'(B) Base Bud Adj'!R16</f>
        <v>-8852900</v>
      </c>
      <c r="L17" s="75">
        <f>'(C) 12-13 Expenditure Adjust.'!X16</f>
        <v>-16485700</v>
      </c>
      <c r="O17" s="75">
        <f>'(D) Tuition Revenue'!S16</f>
        <v>15345000</v>
      </c>
      <c r="R17" s="75">
        <f t="shared" si="0"/>
        <v>106056436.16</v>
      </c>
      <c r="S17" s="75">
        <f t="shared" si="1"/>
        <v>192408000</v>
      </c>
      <c r="T17" s="75">
        <f t="shared" si="2"/>
        <v>29391500</v>
      </c>
      <c r="U17" s="75">
        <f t="shared" si="4"/>
        <v>327855936.15999997</v>
      </c>
      <c r="X17" s="408"/>
      <c r="Y17" s="73"/>
    </row>
    <row r="18" spans="2:25" ht="12.75">
      <c r="B18" s="216" t="s">
        <v>8</v>
      </c>
      <c r="C18" s="216">
        <v>96874129</v>
      </c>
      <c r="D18" s="216"/>
      <c r="E18" s="74">
        <v>105940658</v>
      </c>
      <c r="F18" s="75">
        <v>14078102</v>
      </c>
      <c r="G18" s="75">
        <f t="shared" si="3"/>
        <v>216892889</v>
      </c>
      <c r="J18" s="75">
        <f>'(B) Base Bud Adj'!R17</f>
        <v>-5454490</v>
      </c>
      <c r="L18" s="75">
        <f>'(C) 12-13 Expenditure Adjust.'!X17</f>
        <v>-9187700</v>
      </c>
      <c r="O18" s="75">
        <f>'(D) Tuition Revenue'!S17</f>
        <v>8095000</v>
      </c>
      <c r="R18" s="75">
        <f t="shared" si="0"/>
        <v>82231939</v>
      </c>
      <c r="S18" s="75">
        <f t="shared" si="1"/>
        <v>114035658</v>
      </c>
      <c r="T18" s="75">
        <f t="shared" si="2"/>
        <v>14078102</v>
      </c>
      <c r="U18" s="75">
        <f t="shared" si="4"/>
        <v>210345699</v>
      </c>
      <c r="X18" s="408"/>
      <c r="Y18" s="73"/>
    </row>
    <row r="19" spans="2:25" ht="12.75">
      <c r="B19" s="216" t="s">
        <v>9</v>
      </c>
      <c r="C19" s="216">
        <v>21107751</v>
      </c>
      <c r="D19" s="216"/>
      <c r="E19" s="74">
        <v>4793159</v>
      </c>
      <c r="F19" s="75">
        <v>1710823</v>
      </c>
      <c r="G19" s="75">
        <f t="shared" si="3"/>
        <v>27611733</v>
      </c>
      <c r="J19" s="75">
        <f>'(B) Base Bud Adj'!R18</f>
        <v>-81580</v>
      </c>
      <c r="L19" s="75">
        <f>'(C) 12-13 Expenditure Adjust.'!X18</f>
        <v>-1372400</v>
      </c>
      <c r="O19" s="75">
        <f>'(D) Tuition Revenue'!S18</f>
        <v>421000</v>
      </c>
      <c r="R19" s="75">
        <f t="shared" si="0"/>
        <v>19653771</v>
      </c>
      <c r="S19" s="75">
        <f t="shared" si="1"/>
        <v>5214159</v>
      </c>
      <c r="T19" s="75">
        <f t="shared" si="2"/>
        <v>1710823</v>
      </c>
      <c r="U19" s="75">
        <f t="shared" si="4"/>
        <v>26578753</v>
      </c>
      <c r="X19" s="408"/>
      <c r="Y19" s="73"/>
    </row>
    <row r="20" spans="2:25" ht="12.75">
      <c r="B20" s="216" t="s">
        <v>10</v>
      </c>
      <c r="C20" s="216">
        <v>51339423</v>
      </c>
      <c r="D20" s="216"/>
      <c r="E20" s="74">
        <v>24468271</v>
      </c>
      <c r="F20" s="75">
        <v>2062195</v>
      </c>
      <c r="G20" s="75">
        <f t="shared" si="3"/>
        <v>77869889</v>
      </c>
      <c r="J20" s="75">
        <f>'(B) Base Bud Adj'!R19</f>
        <v>-2093140</v>
      </c>
      <c r="L20" s="75">
        <f>'(C) 12-13 Expenditure Adjust.'!X19</f>
        <v>-3724700</v>
      </c>
      <c r="O20" s="75">
        <f>'(D) Tuition Revenue'!S19</f>
        <v>1514000</v>
      </c>
      <c r="R20" s="75">
        <f t="shared" si="0"/>
        <v>45521583</v>
      </c>
      <c r="S20" s="75">
        <f t="shared" si="1"/>
        <v>25982271</v>
      </c>
      <c r="T20" s="75">
        <f t="shared" si="2"/>
        <v>2062195</v>
      </c>
      <c r="U20" s="75">
        <f t="shared" si="4"/>
        <v>73566049</v>
      </c>
      <c r="X20" s="408"/>
      <c r="Y20" s="73"/>
    </row>
    <row r="21" spans="2:25" ht="12.75">
      <c r="B21" s="216" t="s">
        <v>11</v>
      </c>
      <c r="C21" s="216">
        <v>131345346</v>
      </c>
      <c r="D21" s="216"/>
      <c r="E21" s="74">
        <v>179465000</v>
      </c>
      <c r="F21" s="75">
        <v>30475784</v>
      </c>
      <c r="G21" s="75">
        <f t="shared" si="3"/>
        <v>341286130</v>
      </c>
      <c r="J21" s="75">
        <f>'(B) Base Bud Adj'!R20</f>
        <v>-8965450</v>
      </c>
      <c r="L21" s="75">
        <f>'(C) 12-13 Expenditure Adjust.'!X20</f>
        <v>-14875600</v>
      </c>
      <c r="O21" s="75">
        <f>'(D) Tuition Revenue'!S20</f>
        <v>15446000</v>
      </c>
      <c r="R21" s="75">
        <f t="shared" si="0"/>
        <v>107504296</v>
      </c>
      <c r="S21" s="75">
        <f t="shared" si="1"/>
        <v>194911000</v>
      </c>
      <c r="T21" s="75">
        <f t="shared" si="2"/>
        <v>30475784</v>
      </c>
      <c r="U21" s="75">
        <f t="shared" si="4"/>
        <v>332891080</v>
      </c>
      <c r="X21" s="408"/>
      <c r="Y21" s="73"/>
    </row>
    <row r="22" spans="2:25" ht="12.75">
      <c r="B22" s="216" t="s">
        <v>12</v>
      </c>
      <c r="C22" s="216">
        <v>96644062</v>
      </c>
      <c r="D22" s="216"/>
      <c r="E22" s="74">
        <v>101152000</v>
      </c>
      <c r="F22" s="75">
        <v>10787000</v>
      </c>
      <c r="G22" s="75">
        <f t="shared" si="3"/>
        <v>208583062</v>
      </c>
      <c r="J22" s="75">
        <f>'(B) Base Bud Adj'!R21</f>
        <v>-5660020</v>
      </c>
      <c r="L22" s="75">
        <f>'(C) 12-13 Expenditure Adjust.'!X21</f>
        <v>-10332200</v>
      </c>
      <c r="O22" s="75">
        <f>'(D) Tuition Revenue'!S21</f>
        <v>6035000</v>
      </c>
      <c r="R22" s="75">
        <f t="shared" si="0"/>
        <v>80651842</v>
      </c>
      <c r="S22" s="75">
        <f t="shared" si="1"/>
        <v>107187000</v>
      </c>
      <c r="T22" s="75">
        <f t="shared" si="2"/>
        <v>10787000</v>
      </c>
      <c r="U22" s="75">
        <f t="shared" si="4"/>
        <v>198625842</v>
      </c>
      <c r="X22" s="408"/>
      <c r="Y22" s="73"/>
    </row>
    <row r="23" spans="2:25" ht="12.75">
      <c r="B23" s="216" t="s">
        <v>13</v>
      </c>
      <c r="C23" s="216">
        <v>107426677</v>
      </c>
      <c r="D23" s="216"/>
      <c r="E23" s="74">
        <v>136490500</v>
      </c>
      <c r="F23" s="75">
        <v>15655349</v>
      </c>
      <c r="G23" s="75">
        <f t="shared" si="3"/>
        <v>259572526</v>
      </c>
      <c r="J23" s="75">
        <f>'(B) Base Bud Adj'!R22</f>
        <v>-6724240</v>
      </c>
      <c r="L23" s="75">
        <f>'(C) 12-13 Expenditure Adjust.'!X22</f>
        <v>-10773200</v>
      </c>
      <c r="O23" s="75">
        <f>'(D) Tuition Revenue'!S22</f>
        <v>14474000</v>
      </c>
      <c r="R23" s="75">
        <f t="shared" si="0"/>
        <v>89929237</v>
      </c>
      <c r="S23" s="75">
        <f t="shared" si="1"/>
        <v>150964500</v>
      </c>
      <c r="T23" s="75">
        <f t="shared" si="2"/>
        <v>15655349</v>
      </c>
      <c r="U23" s="75">
        <f t="shared" si="4"/>
        <v>256549086</v>
      </c>
      <c r="X23" s="408"/>
      <c r="Y23" s="73"/>
    </row>
    <row r="24" spans="2:25" ht="12.75" customHeight="1">
      <c r="B24" s="216" t="s">
        <v>14</v>
      </c>
      <c r="C24" s="216">
        <v>75776878</v>
      </c>
      <c r="D24" s="216"/>
      <c r="E24" s="74">
        <v>88825000</v>
      </c>
      <c r="F24" s="75">
        <v>17593192</v>
      </c>
      <c r="G24" s="75">
        <f t="shared" si="3"/>
        <v>182195070</v>
      </c>
      <c r="J24" s="75">
        <f>'(B) Base Bud Adj'!R23</f>
        <v>-4363070</v>
      </c>
      <c r="L24" s="75">
        <f>'(C) 12-13 Expenditure Adjust.'!X23</f>
        <v>-8706700</v>
      </c>
      <c r="O24" s="75">
        <f>'(D) Tuition Revenue'!S23</f>
        <v>6658000</v>
      </c>
      <c r="R24" s="75">
        <f t="shared" si="0"/>
        <v>62707108</v>
      </c>
      <c r="S24" s="75">
        <f t="shared" si="1"/>
        <v>95483000</v>
      </c>
      <c r="T24" s="75">
        <f t="shared" si="2"/>
        <v>17593192</v>
      </c>
      <c r="U24" s="75">
        <f t="shared" si="4"/>
        <v>175783300</v>
      </c>
      <c r="X24" s="408"/>
      <c r="Y24" s="73"/>
    </row>
    <row r="25" spans="2:25" ht="12.75">
      <c r="B25" s="216" t="s">
        <v>15</v>
      </c>
      <c r="C25" s="216">
        <v>133941246</v>
      </c>
      <c r="D25" s="216"/>
      <c r="E25" s="74">
        <v>159073000</v>
      </c>
      <c r="F25" s="75">
        <v>34698627</v>
      </c>
      <c r="G25" s="75">
        <f t="shared" si="3"/>
        <v>327712873</v>
      </c>
      <c r="J25" s="75">
        <f>'(B) Base Bud Adj'!R24</f>
        <v>-8978250</v>
      </c>
      <c r="L25" s="75">
        <f>'(C) 12-13 Expenditure Adjust.'!X24</f>
        <v>-16180000</v>
      </c>
      <c r="O25" s="75">
        <f>'(D) Tuition Revenue'!S24</f>
        <v>14340000</v>
      </c>
      <c r="R25" s="75">
        <f t="shared" si="0"/>
        <v>108782996</v>
      </c>
      <c r="S25" s="75">
        <f t="shared" si="1"/>
        <v>173413000</v>
      </c>
      <c r="T25" s="75">
        <f t="shared" si="2"/>
        <v>34698627</v>
      </c>
      <c r="U25" s="75">
        <f t="shared" si="4"/>
        <v>316894623</v>
      </c>
      <c r="X25" s="408"/>
      <c r="Y25" s="73"/>
    </row>
    <row r="26" spans="2:25" ht="12.75">
      <c r="B26" s="216" t="s">
        <v>16</v>
      </c>
      <c r="C26" s="216">
        <v>111787439</v>
      </c>
      <c r="D26" s="216"/>
      <c r="E26" s="74">
        <v>149100000</v>
      </c>
      <c r="F26" s="75">
        <v>30303377</v>
      </c>
      <c r="G26" s="75">
        <f t="shared" si="3"/>
        <v>291190816</v>
      </c>
      <c r="J26" s="75">
        <f>'(B) Base Bud Adj'!R25</f>
        <v>-7756480</v>
      </c>
      <c r="L26" s="75">
        <f>'(C) 12-13 Expenditure Adjust.'!X25</f>
        <v>-12726000</v>
      </c>
      <c r="O26" s="75">
        <f>'(D) Tuition Revenue'!S25</f>
        <v>10496000</v>
      </c>
      <c r="R26" s="75">
        <f t="shared" si="0"/>
        <v>91304959</v>
      </c>
      <c r="S26" s="75">
        <f t="shared" si="1"/>
        <v>159596000</v>
      </c>
      <c r="T26" s="75">
        <f t="shared" si="2"/>
        <v>30303377</v>
      </c>
      <c r="U26" s="75">
        <f t="shared" si="4"/>
        <v>281204336</v>
      </c>
      <c r="X26" s="408"/>
      <c r="Y26" s="73"/>
    </row>
    <row r="27" spans="2:25" ht="12.75">
      <c r="B27" s="216" t="s">
        <v>17</v>
      </c>
      <c r="C27" s="216">
        <v>101113122</v>
      </c>
      <c r="D27" s="216"/>
      <c r="E27" s="74">
        <v>142479300</v>
      </c>
      <c r="F27" s="75">
        <v>24223800</v>
      </c>
      <c r="G27" s="75">
        <f t="shared" si="3"/>
        <v>267816222</v>
      </c>
      <c r="J27" s="75">
        <f>'(B) Base Bud Adj'!R26</f>
        <v>-7439140</v>
      </c>
      <c r="L27" s="75">
        <f>'(C) 12-13 Expenditure Adjust.'!X26</f>
        <v>-12421000</v>
      </c>
      <c r="O27" s="75">
        <f>'(D) Tuition Revenue'!S26</f>
        <v>9632000</v>
      </c>
      <c r="R27" s="75">
        <f t="shared" si="0"/>
        <v>81252982</v>
      </c>
      <c r="S27" s="75">
        <f t="shared" si="1"/>
        <v>152111300</v>
      </c>
      <c r="T27" s="75">
        <f t="shared" si="2"/>
        <v>24223800</v>
      </c>
      <c r="U27" s="75">
        <f t="shared" si="4"/>
        <v>257588082</v>
      </c>
      <c r="X27" s="408"/>
      <c r="Y27" s="73"/>
    </row>
    <row r="28" spans="2:25" ht="12.75">
      <c r="B28" s="216" t="s">
        <v>18</v>
      </c>
      <c r="C28" s="216">
        <v>89543438</v>
      </c>
      <c r="D28" s="216"/>
      <c r="E28" s="74">
        <v>95990000</v>
      </c>
      <c r="F28" s="75">
        <v>32459000</v>
      </c>
      <c r="G28" s="75">
        <f t="shared" si="3"/>
        <v>217992438</v>
      </c>
      <c r="J28" s="75">
        <f>'(B) Base Bud Adj'!R27</f>
        <v>-6018070</v>
      </c>
      <c r="L28" s="75">
        <f>'(C) 12-13 Expenditure Adjust.'!X27</f>
        <v>-12949600</v>
      </c>
      <c r="O28" s="75">
        <f>'(D) Tuition Revenue'!S27</f>
        <v>10223000</v>
      </c>
      <c r="R28" s="75">
        <f t="shared" si="0"/>
        <v>70575768</v>
      </c>
      <c r="S28" s="75">
        <f t="shared" si="1"/>
        <v>106213000</v>
      </c>
      <c r="T28" s="75">
        <f t="shared" si="2"/>
        <v>32459000</v>
      </c>
      <c r="U28" s="75">
        <f t="shared" si="4"/>
        <v>209247768</v>
      </c>
      <c r="X28" s="408"/>
      <c r="Y28" s="73"/>
    </row>
    <row r="29" spans="2:25" ht="12.75">
      <c r="B29" s="216" t="s">
        <v>19</v>
      </c>
      <c r="C29" s="216">
        <v>51833482</v>
      </c>
      <c r="D29" s="216"/>
      <c r="E29" s="74">
        <v>46981000</v>
      </c>
      <c r="F29" s="75">
        <v>8010000</v>
      </c>
      <c r="G29" s="75">
        <f t="shared" si="3"/>
        <v>106824482</v>
      </c>
      <c r="J29" s="75">
        <f>'(B) Base Bud Adj'!R28</f>
        <v>-2863230</v>
      </c>
      <c r="L29" s="75">
        <f>'(C) 12-13 Expenditure Adjust.'!X28</f>
        <v>-3827600</v>
      </c>
      <c r="O29" s="75">
        <f>'(D) Tuition Revenue'!S28</f>
        <v>3876000</v>
      </c>
      <c r="R29" s="75">
        <f t="shared" si="0"/>
        <v>45142652</v>
      </c>
      <c r="S29" s="75">
        <f t="shared" si="1"/>
        <v>50857000</v>
      </c>
      <c r="T29" s="75">
        <f t="shared" si="2"/>
        <v>8010000</v>
      </c>
      <c r="U29" s="75">
        <f t="shared" si="4"/>
        <v>104009652</v>
      </c>
      <c r="X29" s="408"/>
      <c r="Y29" s="73"/>
    </row>
    <row r="30" spans="2:25" ht="12.75">
      <c r="B30" s="216" t="s">
        <v>20</v>
      </c>
      <c r="C30" s="216">
        <v>46311423</v>
      </c>
      <c r="D30" s="216"/>
      <c r="E30" s="74">
        <v>43181000</v>
      </c>
      <c r="F30" s="75">
        <v>5056000</v>
      </c>
      <c r="G30" s="75">
        <f t="shared" si="3"/>
        <v>94548423</v>
      </c>
      <c r="J30" s="75">
        <f>'(B) Base Bud Adj'!R29</f>
        <v>-2633240</v>
      </c>
      <c r="L30" s="75">
        <f>'(C) 12-13 Expenditure Adjust.'!X29</f>
        <v>-4313000</v>
      </c>
      <c r="O30" s="75">
        <f>'(D) Tuition Revenue'!S29</f>
        <v>3017000</v>
      </c>
      <c r="R30" s="75">
        <f t="shared" si="0"/>
        <v>39365183</v>
      </c>
      <c r="S30" s="75">
        <f t="shared" si="1"/>
        <v>46198000</v>
      </c>
      <c r="T30" s="75">
        <f t="shared" si="2"/>
        <v>5056000</v>
      </c>
      <c r="U30" s="75">
        <f t="shared" si="4"/>
        <v>90619183</v>
      </c>
      <c r="X30" s="408"/>
      <c r="Y30" s="73"/>
    </row>
    <row r="31" spans="2:25" ht="12.75">
      <c r="B31" s="216" t="s">
        <v>21</v>
      </c>
      <c r="C31" s="216">
        <v>46552297</v>
      </c>
      <c r="D31" s="216"/>
      <c r="E31" s="74">
        <v>42312227</v>
      </c>
      <c r="F31" s="75">
        <v>5291790</v>
      </c>
      <c r="G31" s="75">
        <f t="shared" si="3"/>
        <v>94156314</v>
      </c>
      <c r="J31" s="75">
        <f>'(B) Base Bud Adj'!R30</f>
        <v>-2353350</v>
      </c>
      <c r="L31" s="75">
        <f>'(C) 12-13 Expenditure Adjust.'!X30</f>
        <v>-3380300</v>
      </c>
      <c r="O31" s="75">
        <f>'(D) Tuition Revenue'!S30</f>
        <v>9272000</v>
      </c>
      <c r="R31" s="75">
        <f t="shared" si="0"/>
        <v>40818647</v>
      </c>
      <c r="S31" s="75">
        <f t="shared" si="1"/>
        <v>51584227</v>
      </c>
      <c r="T31" s="75">
        <f t="shared" si="2"/>
        <v>5291790</v>
      </c>
      <c r="U31" s="75">
        <f t="shared" si="4"/>
        <v>97694664</v>
      </c>
      <c r="X31" s="408"/>
      <c r="Y31" s="73"/>
    </row>
    <row r="32" ht="9" customHeight="1"/>
    <row r="33" spans="2:23" s="73" customFormat="1" ht="15" customHeight="1">
      <c r="B33" s="217" t="s">
        <v>22</v>
      </c>
      <c r="C33" s="217">
        <v>1872388736.1599998</v>
      </c>
      <c r="D33" s="217"/>
      <c r="E33" s="217">
        <f>SUM(E9:E32)</f>
        <v>2105595262</v>
      </c>
      <c r="F33" s="217">
        <f>SUM(F9:F31)</f>
        <v>340439700</v>
      </c>
      <c r="G33" s="217">
        <f>SUM(G9:G32)</f>
        <v>4318423698.16</v>
      </c>
      <c r="H33" s="212"/>
      <c r="I33" s="212"/>
      <c r="J33" s="217">
        <f>SUM(J9:J32)</f>
        <v>-111962270</v>
      </c>
      <c r="K33" s="217"/>
      <c r="L33" s="217">
        <f>SUM(L9:L32)</f>
        <v>-199622000</v>
      </c>
      <c r="M33" s="217"/>
      <c r="N33" s="217"/>
      <c r="O33" s="217">
        <f>SUM(O9:O32)</f>
        <v>180137000</v>
      </c>
      <c r="P33" s="217"/>
      <c r="Q33" s="212"/>
      <c r="R33" s="217">
        <f>SUM(R9:R32)</f>
        <v>1560804466.1599998</v>
      </c>
      <c r="S33" s="217">
        <f>SUM(S9:S32)</f>
        <v>2285732262</v>
      </c>
      <c r="T33" s="217">
        <f>SUM(T9:T32)</f>
        <v>340439700</v>
      </c>
      <c r="U33" s="217">
        <f>SUM(U9:U32)</f>
        <v>4186976428.16</v>
      </c>
      <c r="V33" s="75"/>
      <c r="W33" s="75"/>
    </row>
    <row r="34" ht="9" customHeight="1"/>
    <row r="35" spans="2:21" ht="12.75" customHeight="1">
      <c r="B35" s="75" t="s">
        <v>23</v>
      </c>
      <c r="C35" s="75">
        <v>64433802</v>
      </c>
      <c r="E35" s="75">
        <v>0</v>
      </c>
      <c r="F35" s="75">
        <v>0</v>
      </c>
      <c r="G35" s="75">
        <f>SUM(C35:F35)</f>
        <v>64433802</v>
      </c>
      <c r="J35" s="75">
        <f>'(B) Base Bud Adj'!R34</f>
        <v>-220113</v>
      </c>
      <c r="L35" s="75">
        <f>'(C) 12-13 Expenditure Adjust.'!X34</f>
        <v>0</v>
      </c>
      <c r="O35" s="75">
        <f>'(D) Tuition Revenue'!S34</f>
        <v>0</v>
      </c>
      <c r="R35" s="75">
        <f>C35+J35+L35</f>
        <v>64213689</v>
      </c>
      <c r="S35" s="75">
        <f>E35+O35</f>
        <v>0</v>
      </c>
      <c r="T35" s="75">
        <f>F35</f>
        <v>0</v>
      </c>
      <c r="U35" s="75">
        <f>R35+S35+T35</f>
        <v>64213689</v>
      </c>
    </row>
    <row r="36" spans="1:21" ht="12.75" customHeight="1">
      <c r="A36" s="411" t="s">
        <v>191</v>
      </c>
      <c r="B36" s="75" t="s">
        <v>29</v>
      </c>
      <c r="C36" s="75">
        <v>981735</v>
      </c>
      <c r="E36" s="75">
        <v>0</v>
      </c>
      <c r="F36" s="75">
        <v>0</v>
      </c>
      <c r="G36" s="75">
        <f aca="true" t="shared" si="5" ref="G36:G41">SUM(C36:F36)</f>
        <v>981735</v>
      </c>
      <c r="J36" s="75">
        <f>'(B) Base Bud Adj'!R35</f>
        <v>0</v>
      </c>
      <c r="L36" s="75">
        <f>'(C) 12-13 Expenditure Adjust.'!X35</f>
        <v>-224000</v>
      </c>
      <c r="O36" s="75">
        <f>'(D) Tuition Revenue'!S35</f>
        <v>697000</v>
      </c>
      <c r="R36" s="75">
        <f aca="true" t="shared" si="6" ref="R36:R41">C36+J36+L36</f>
        <v>757735</v>
      </c>
      <c r="S36" s="75">
        <f aca="true" t="shared" si="7" ref="S36:S41">E36+O36</f>
        <v>697000</v>
      </c>
      <c r="T36" s="75">
        <f aca="true" t="shared" si="8" ref="T36:T41">F36</f>
        <v>0</v>
      </c>
      <c r="U36" s="75">
        <f aca="true" t="shared" si="9" ref="U36:U41">R36+S36+T36</f>
        <v>1454735</v>
      </c>
    </row>
    <row r="37" spans="1:21" ht="12.75" customHeight="1">
      <c r="A37" s="411"/>
      <c r="B37" s="75" t="s">
        <v>24</v>
      </c>
      <c r="C37" s="75">
        <v>2269496</v>
      </c>
      <c r="E37" s="76">
        <v>2772000</v>
      </c>
      <c r="F37" s="75">
        <v>0</v>
      </c>
      <c r="G37" s="75">
        <f t="shared" si="5"/>
        <v>5041496</v>
      </c>
      <c r="J37" s="75">
        <f>'(B) Base Bud Adj'!R36</f>
        <v>0</v>
      </c>
      <c r="L37" s="75">
        <f>'(C) 12-13 Expenditure Adjust.'!X36</f>
        <v>-108000</v>
      </c>
      <c r="O37" s="75">
        <f>'(D) Tuition Revenue'!S36</f>
        <v>567000</v>
      </c>
      <c r="R37" s="75">
        <f t="shared" si="6"/>
        <v>2161496</v>
      </c>
      <c r="S37" s="75">
        <f t="shared" si="7"/>
        <v>3339000</v>
      </c>
      <c r="T37" s="75">
        <f t="shared" si="8"/>
        <v>0</v>
      </c>
      <c r="U37" s="75">
        <f t="shared" si="9"/>
        <v>5500496</v>
      </c>
    </row>
    <row r="38" spans="1:21" ht="12.75" customHeight="1">
      <c r="A38" s="411" t="s">
        <v>191</v>
      </c>
      <c r="B38" s="75" t="s">
        <v>25</v>
      </c>
      <c r="C38" s="75">
        <v>57800</v>
      </c>
      <c r="E38" s="75">
        <v>0</v>
      </c>
      <c r="F38" s="75">
        <v>0</v>
      </c>
      <c r="G38" s="75">
        <f t="shared" si="5"/>
        <v>57800</v>
      </c>
      <c r="J38" s="75">
        <f>'(B) Base Bud Adj'!R37</f>
        <v>0</v>
      </c>
      <c r="L38" s="75">
        <f>'(C) 12-13 Expenditure Adjust.'!X37</f>
        <v>-46000</v>
      </c>
      <c r="O38" s="75">
        <f>'(D) Tuition Revenue'!S37</f>
        <v>144000</v>
      </c>
      <c r="R38" s="75">
        <f t="shared" si="6"/>
        <v>11800</v>
      </c>
      <c r="S38" s="75">
        <f t="shared" si="7"/>
        <v>144000</v>
      </c>
      <c r="T38" s="75">
        <f t="shared" si="8"/>
        <v>0</v>
      </c>
      <c r="U38" s="75">
        <f t="shared" si="9"/>
        <v>155800</v>
      </c>
    </row>
    <row r="39" spans="2:21" ht="12.75" customHeight="1">
      <c r="B39" s="75" t="s">
        <v>26</v>
      </c>
      <c r="C39" s="75">
        <v>201141431</v>
      </c>
      <c r="D39" s="267"/>
      <c r="E39" s="75">
        <v>0</v>
      </c>
      <c r="F39" s="103">
        <v>1000</v>
      </c>
      <c r="G39" s="75">
        <f t="shared" si="5"/>
        <v>201142431</v>
      </c>
      <c r="J39" s="75">
        <f>'(B) Base Bud Adj'!R38</f>
        <v>-18437680</v>
      </c>
      <c r="L39" s="75">
        <f>'(C) 12-13 Expenditure Adjust.'!X38</f>
        <v>0</v>
      </c>
      <c r="O39" s="75">
        <f>'(D) Tuition Revenue'!S38</f>
        <v>0</v>
      </c>
      <c r="Q39" s="269"/>
      <c r="R39" s="75">
        <f t="shared" si="6"/>
        <v>182703751</v>
      </c>
      <c r="S39" s="75">
        <f t="shared" si="7"/>
        <v>0</v>
      </c>
      <c r="T39" s="75">
        <f t="shared" si="8"/>
        <v>1000</v>
      </c>
      <c r="U39" s="75">
        <f t="shared" si="9"/>
        <v>182704751</v>
      </c>
    </row>
    <row r="40" spans="2:21" ht="12.75" customHeight="1">
      <c r="B40" s="75" t="s">
        <v>123</v>
      </c>
      <c r="C40" s="75">
        <v>0</v>
      </c>
      <c r="D40" s="267"/>
      <c r="E40" s="75">
        <v>0</v>
      </c>
      <c r="F40" s="103">
        <v>0</v>
      </c>
      <c r="G40" s="75">
        <f>SUM(C40:F40)</f>
        <v>0</v>
      </c>
      <c r="J40" s="75">
        <f>'(B) Base Bud Adj'!R39</f>
        <v>0</v>
      </c>
      <c r="L40" s="75">
        <f>'(C) 12-13 Expenditure Adjust.'!X39</f>
        <v>200000000</v>
      </c>
      <c r="O40" s="75">
        <f>'(D) Tuition Revenue'!S39</f>
        <v>0</v>
      </c>
      <c r="Q40" s="269"/>
      <c r="R40" s="75">
        <f t="shared" si="6"/>
        <v>200000000</v>
      </c>
      <c r="S40" s="75">
        <f t="shared" si="7"/>
        <v>0</v>
      </c>
      <c r="T40" s="75">
        <f t="shared" si="8"/>
        <v>0</v>
      </c>
      <c r="U40" s="75">
        <f t="shared" si="9"/>
        <v>200000000</v>
      </c>
    </row>
    <row r="41" spans="2:21" ht="12.75" customHeight="1">
      <c r="B41" s="75" t="s">
        <v>124</v>
      </c>
      <c r="C41" s="75">
        <v>0</v>
      </c>
      <c r="D41" s="267"/>
      <c r="E41" s="75">
        <v>0</v>
      </c>
      <c r="F41" s="103">
        <v>0</v>
      </c>
      <c r="G41" s="75">
        <f t="shared" si="5"/>
        <v>0</v>
      </c>
      <c r="J41" s="75">
        <f>'(B) Base Bud Adj'!R40</f>
        <v>189775000</v>
      </c>
      <c r="L41" s="75">
        <f>'(C) 12-13 Expenditure Adjust.'!X40</f>
        <v>0</v>
      </c>
      <c r="O41" s="75">
        <f>'(D) Tuition Revenue'!S40</f>
        <v>0</v>
      </c>
      <c r="Q41" s="269"/>
      <c r="R41" s="75">
        <f t="shared" si="6"/>
        <v>189775000</v>
      </c>
      <c r="S41" s="75">
        <f t="shared" si="7"/>
        <v>0</v>
      </c>
      <c r="T41" s="75">
        <f t="shared" si="8"/>
        <v>0</v>
      </c>
      <c r="U41" s="75">
        <f t="shared" si="9"/>
        <v>189775000</v>
      </c>
    </row>
    <row r="42" ht="9" customHeight="1"/>
    <row r="43" spans="2:21" s="73" customFormat="1" ht="15" customHeight="1" thickBot="1">
      <c r="B43" s="222" t="s">
        <v>27</v>
      </c>
      <c r="C43" s="222">
        <f>SUM(C33:C39)</f>
        <v>2141273000.1599998</v>
      </c>
      <c r="D43" s="222"/>
      <c r="E43" s="222">
        <f>SUM(E33:E39)</f>
        <v>2108367262</v>
      </c>
      <c r="F43" s="222">
        <f>SUM(F33:F41)</f>
        <v>340440700</v>
      </c>
      <c r="G43" s="222">
        <f>SUM(G33:G41)</f>
        <v>4590080962.16</v>
      </c>
      <c r="H43" s="212"/>
      <c r="I43" s="212"/>
      <c r="J43" s="268">
        <f>SUM(J33:J41)</f>
        <v>59154937</v>
      </c>
      <c r="K43" s="268"/>
      <c r="L43" s="268">
        <f>SUM(L33:L41)</f>
        <v>0</v>
      </c>
      <c r="M43" s="268"/>
      <c r="N43" s="268"/>
      <c r="O43" s="268">
        <f>SUM(O33:O41)</f>
        <v>181545000</v>
      </c>
      <c r="P43" s="268"/>
      <c r="Q43" s="212"/>
      <c r="R43" s="222">
        <f>SUM(R33:R41)</f>
        <v>2200427937.16</v>
      </c>
      <c r="S43" s="222">
        <f>SUM(S33:S41)</f>
        <v>2289912262</v>
      </c>
      <c r="T43" s="222">
        <f>SUM(T33:T41)</f>
        <v>340440700</v>
      </c>
      <c r="U43" s="222">
        <f>SUM(U33:U41)</f>
        <v>4830780899.16</v>
      </c>
    </row>
    <row r="45" spans="1:2" ht="18">
      <c r="A45" s="15">
        <v>1</v>
      </c>
      <c r="B45" s="80" t="s">
        <v>193</v>
      </c>
    </row>
    <row r="46" spans="1:20" ht="12.75">
      <c r="A46" s="412" t="s">
        <v>191</v>
      </c>
      <c r="B46" s="413" t="s">
        <v>192</v>
      </c>
      <c r="E46" s="99"/>
      <c r="F46" s="99"/>
      <c r="G46" s="99"/>
      <c r="H46" s="270"/>
      <c r="I46" s="270"/>
      <c r="J46" s="271"/>
      <c r="K46" s="271"/>
      <c r="L46" s="271"/>
      <c r="M46" s="271"/>
      <c r="N46" s="271"/>
      <c r="O46" s="271"/>
      <c r="P46" s="271"/>
      <c r="Q46" s="270"/>
      <c r="R46" s="99"/>
      <c r="S46" s="99"/>
      <c r="T46" s="99"/>
    </row>
    <row r="47" spans="3:20" ht="18" customHeight="1"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</row>
    <row r="52" ht="12.75">
      <c r="R52" s="409"/>
    </row>
  </sheetData>
  <sheetProtection/>
  <mergeCells count="4">
    <mergeCell ref="C4:G4"/>
    <mergeCell ref="I4:P4"/>
    <mergeCell ref="J5:M5"/>
    <mergeCell ref="R4:U4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38" sqref="U38"/>
    </sheetView>
  </sheetViews>
  <sheetFormatPr defaultColWidth="9.33203125" defaultRowHeight="12.75"/>
  <cols>
    <col min="1" max="1" width="26.83203125" style="75" customWidth="1"/>
    <col min="2" max="2" width="14.83203125" style="75" customWidth="1"/>
    <col min="3" max="3" width="1.83203125" style="75" customWidth="1"/>
    <col min="4" max="4" width="14.83203125" style="80" customWidth="1"/>
    <col min="5" max="5" width="1.83203125" style="80" customWidth="1"/>
    <col min="6" max="6" width="13.83203125" style="80" customWidth="1"/>
    <col min="7" max="7" width="1.83203125" style="80" customWidth="1"/>
    <col min="8" max="8" width="16.83203125" style="80" customWidth="1"/>
    <col min="9" max="9" width="1.83203125" style="80" customWidth="1"/>
    <col min="10" max="10" width="14.83203125" style="80" bestFit="1" customWidth="1"/>
    <col min="11" max="11" width="2.33203125" style="80" customWidth="1"/>
    <col min="12" max="12" width="4.83203125" style="80" customWidth="1"/>
    <col min="13" max="13" width="11.5" style="80" bestFit="1" customWidth="1"/>
    <col min="14" max="14" width="4.83203125" style="80" customWidth="1"/>
    <col min="15" max="15" width="16.83203125" style="80" hidden="1" customWidth="1"/>
    <col min="16" max="16" width="1.83203125" style="80" hidden="1" customWidth="1"/>
    <col min="17" max="17" width="2.33203125" style="80" customWidth="1"/>
    <col min="18" max="18" width="14.83203125" style="80" customWidth="1"/>
    <col min="19" max="19" width="2.33203125" style="80" customWidth="1"/>
    <col min="20" max="20" width="16.83203125" style="80" customWidth="1"/>
    <col min="21" max="21" width="10.83203125" style="80" customWidth="1"/>
    <col min="22" max="22" width="2.83203125" style="75" customWidth="1"/>
    <col min="23" max="24" width="12.83203125" style="75" customWidth="1"/>
    <col min="25" max="25" width="13.83203125" style="75" customWidth="1"/>
    <col min="26" max="26" width="3.16015625" style="75" customWidth="1"/>
    <col min="27" max="27" width="14.16015625" style="75" bestFit="1" customWidth="1"/>
    <col min="28" max="16384" width="9.33203125" style="75" customWidth="1"/>
  </cols>
  <sheetData>
    <row r="1" spans="1:27" ht="18.75">
      <c r="A1" s="14" t="s">
        <v>72</v>
      </c>
      <c r="B1" s="1"/>
      <c r="C1" s="1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183"/>
      <c r="W1" s="1" t="s">
        <v>132</v>
      </c>
      <c r="X1" s="185"/>
      <c r="Y1" s="185"/>
      <c r="Z1" s="181"/>
      <c r="AA1" s="181"/>
    </row>
    <row r="2" spans="1:23" ht="7.5" customHeight="1">
      <c r="A2" s="21"/>
      <c r="B2" s="1"/>
      <c r="C2" s="1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08"/>
      <c r="S2" s="77"/>
      <c r="T2" s="77"/>
      <c r="U2" s="77"/>
      <c r="V2" s="183"/>
      <c r="W2" s="185"/>
    </row>
    <row r="3" spans="2:27" s="16" customFormat="1" ht="14.25">
      <c r="B3" s="17">
        <f>-1</f>
        <v>-1</v>
      </c>
      <c r="D3" s="17">
        <v>-2</v>
      </c>
      <c r="E3" s="17"/>
      <c r="F3" s="17">
        <v>-3</v>
      </c>
      <c r="G3" s="17"/>
      <c r="H3" s="17">
        <v>-4</v>
      </c>
      <c r="J3" s="18">
        <f>-5</f>
        <v>-5</v>
      </c>
      <c r="K3" s="18"/>
      <c r="L3" s="18"/>
      <c r="M3" s="18">
        <f>-6</f>
        <v>-6</v>
      </c>
      <c r="N3" s="18"/>
      <c r="O3" s="17">
        <f>-5</f>
        <v>-5</v>
      </c>
      <c r="P3" s="17"/>
      <c r="Q3" s="17"/>
      <c r="R3" s="114" t="s">
        <v>93</v>
      </c>
      <c r="S3" s="17"/>
      <c r="T3" s="114" t="s">
        <v>94</v>
      </c>
      <c r="V3" s="189"/>
      <c r="W3" s="98" t="s">
        <v>61</v>
      </c>
      <c r="X3" s="98" t="s">
        <v>78</v>
      </c>
      <c r="Y3" s="98" t="s">
        <v>79</v>
      </c>
      <c r="Z3" s="97"/>
      <c r="AA3" s="97"/>
    </row>
    <row r="4" spans="2:27" s="6" customFormat="1" ht="18" customHeight="1">
      <c r="B4" s="8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V4" s="193"/>
      <c r="W4" s="421" t="s">
        <v>180</v>
      </c>
      <c r="X4" s="421"/>
      <c r="Y4" s="421"/>
      <c r="Z4" s="100"/>
      <c r="AA4" s="100"/>
    </row>
    <row r="5" spans="1:27" s="261" customFormat="1" ht="75" customHeight="1">
      <c r="A5" s="260"/>
      <c r="B5" s="278" t="s">
        <v>186</v>
      </c>
      <c r="C5" s="260"/>
      <c r="D5" s="260" t="s">
        <v>139</v>
      </c>
      <c r="E5" s="260"/>
      <c r="F5" s="260" t="s">
        <v>144</v>
      </c>
      <c r="G5" s="304"/>
      <c r="H5" s="278" t="s">
        <v>147</v>
      </c>
      <c r="I5" s="260"/>
      <c r="J5" s="304" t="s">
        <v>185</v>
      </c>
      <c r="K5" s="260"/>
      <c r="L5" s="424" t="s">
        <v>145</v>
      </c>
      <c r="M5" s="424"/>
      <c r="N5" s="424"/>
      <c r="O5" s="260"/>
      <c r="P5" s="260"/>
      <c r="Q5" s="279"/>
      <c r="R5" s="258" t="s">
        <v>77</v>
      </c>
      <c r="S5" s="279"/>
      <c r="T5" s="396" t="s">
        <v>160</v>
      </c>
      <c r="V5" s="263"/>
      <c r="W5" s="264" t="s">
        <v>31</v>
      </c>
      <c r="X5" s="265" t="s">
        <v>30</v>
      </c>
      <c r="Y5" s="265" t="s">
        <v>141</v>
      </c>
      <c r="Z5" s="265"/>
      <c r="AA5" s="266" t="s">
        <v>122</v>
      </c>
    </row>
    <row r="6" spans="1:27" s="165" customFormat="1" ht="14.25" customHeight="1">
      <c r="A6" s="162"/>
      <c r="B6" s="163"/>
      <c r="C6" s="162"/>
      <c r="D6" s="164"/>
      <c r="E6" s="164"/>
      <c r="F6" s="164"/>
      <c r="G6" s="164"/>
      <c r="H6" s="83" t="s">
        <v>148</v>
      </c>
      <c r="I6" s="164"/>
      <c r="J6" s="84"/>
      <c r="K6" s="84"/>
      <c r="L6" s="84"/>
      <c r="M6" s="84"/>
      <c r="N6" s="84"/>
      <c r="O6" s="84"/>
      <c r="P6" s="84"/>
      <c r="Q6" s="84"/>
      <c r="R6" s="305" t="s">
        <v>151</v>
      </c>
      <c r="S6" s="84"/>
      <c r="T6" s="83" t="s">
        <v>179</v>
      </c>
      <c r="V6" s="195"/>
      <c r="W6" s="95"/>
      <c r="X6" s="85"/>
      <c r="Y6" s="85"/>
      <c r="Z6" s="85"/>
      <c r="AA6" s="83" t="s">
        <v>80</v>
      </c>
    </row>
    <row r="7" spans="1:27" ht="7.5" customHeight="1">
      <c r="A7" s="78"/>
      <c r="B7" s="102"/>
      <c r="C7" s="78"/>
      <c r="D7" s="79"/>
      <c r="E7" s="79"/>
      <c r="F7" s="79"/>
      <c r="G7" s="79"/>
      <c r="H7" s="166"/>
      <c r="I7" s="79"/>
      <c r="J7" s="11"/>
      <c r="K7" s="11"/>
      <c r="L7" s="11"/>
      <c r="M7" s="11"/>
      <c r="N7" s="11"/>
      <c r="O7" s="11"/>
      <c r="P7" s="11"/>
      <c r="Q7" s="11"/>
      <c r="R7" s="10"/>
      <c r="S7" s="11"/>
      <c r="T7" s="10"/>
      <c r="V7" s="196"/>
      <c r="W7" s="96"/>
      <c r="X7" s="69"/>
      <c r="Y7" s="69"/>
      <c r="Z7" s="69"/>
      <c r="AA7" s="82"/>
    </row>
    <row r="8" spans="1:27" s="13" customFormat="1" ht="12.75" customHeight="1">
      <c r="A8" s="73" t="s">
        <v>0</v>
      </c>
      <c r="B8" s="209">
        <f>'(A) Budget Summary'!C9</f>
        <v>48741489</v>
      </c>
      <c r="C8" s="210"/>
      <c r="D8" s="211">
        <v>-2065800</v>
      </c>
      <c r="E8" s="211"/>
      <c r="F8" s="211">
        <v>-259980</v>
      </c>
      <c r="G8" s="211"/>
      <c r="H8" s="209">
        <f>B8+D8+F8</f>
        <v>46415709</v>
      </c>
      <c r="I8" s="211"/>
      <c r="J8" s="211"/>
      <c r="K8" s="211"/>
      <c r="L8" s="211"/>
      <c r="M8" s="211">
        <v>-39200</v>
      </c>
      <c r="N8" s="211"/>
      <c r="O8" s="211"/>
      <c r="P8" s="211"/>
      <c r="Q8" s="211"/>
      <c r="R8" s="209">
        <f>D8+F8+J8+M8</f>
        <v>-2364980</v>
      </c>
      <c r="S8" s="211"/>
      <c r="T8" s="209">
        <f>B8+R8</f>
        <v>46376509</v>
      </c>
      <c r="V8" s="74"/>
      <c r="W8" s="229">
        <v>316000</v>
      </c>
      <c r="X8" s="230">
        <f>92000+1000</f>
        <v>93000</v>
      </c>
      <c r="Y8" s="230">
        <v>0</v>
      </c>
      <c r="Z8" s="230"/>
      <c r="AA8" s="231">
        <f aca="true" t="shared" si="0" ref="AA8:AA30">SUM(W8:Z8)</f>
        <v>409000</v>
      </c>
    </row>
    <row r="9" spans="1:27" s="9" customFormat="1" ht="12.75" customHeight="1">
      <c r="A9" s="75" t="s">
        <v>1</v>
      </c>
      <c r="B9" s="213">
        <f>'(A) Budget Summary'!C10</f>
        <v>44118320</v>
      </c>
      <c r="C9" s="80"/>
      <c r="D9" s="214">
        <f>-1648100</f>
        <v>-1648100</v>
      </c>
      <c r="E9" s="214"/>
      <c r="F9" s="214">
        <v>-198510</v>
      </c>
      <c r="G9" s="214"/>
      <c r="H9" s="215">
        <f aca="true" t="shared" si="1" ref="H9:H30">B9+D9+F9</f>
        <v>42271710</v>
      </c>
      <c r="I9" s="214"/>
      <c r="J9" s="77">
        <v>1648100</v>
      </c>
      <c r="K9" s="77"/>
      <c r="L9" s="77"/>
      <c r="M9" s="77">
        <v>-19000</v>
      </c>
      <c r="N9" s="77"/>
      <c r="O9" s="77"/>
      <c r="P9" s="77"/>
      <c r="Q9" s="77"/>
      <c r="R9" s="213">
        <f>D9+F9+J9+M9</f>
        <v>-217510</v>
      </c>
      <c r="S9" s="77"/>
      <c r="T9" s="213">
        <f>B9+R9</f>
        <v>43900810</v>
      </c>
      <c r="V9" s="74"/>
      <c r="W9" s="236">
        <v>257000</v>
      </c>
      <c r="X9" s="237">
        <v>80000</v>
      </c>
      <c r="Y9" s="237">
        <v>747000</v>
      </c>
      <c r="Z9" s="237"/>
      <c r="AA9" s="238">
        <f t="shared" si="0"/>
        <v>1084000</v>
      </c>
    </row>
    <row r="10" spans="1:27" s="9" customFormat="1" ht="12.75" customHeight="1">
      <c r="A10" s="75" t="s">
        <v>2</v>
      </c>
      <c r="B10" s="213">
        <f>'(A) Budget Summary'!C11</f>
        <v>81330222</v>
      </c>
      <c r="C10" s="80"/>
      <c r="D10" s="214">
        <v>-4075800</v>
      </c>
      <c r="E10" s="214"/>
      <c r="F10" s="214">
        <v>-502490</v>
      </c>
      <c r="G10" s="214"/>
      <c r="H10" s="215">
        <f t="shared" si="1"/>
        <v>76751932</v>
      </c>
      <c r="I10" s="214"/>
      <c r="J10" s="77"/>
      <c r="K10" s="77"/>
      <c r="L10" s="77"/>
      <c r="M10" s="77">
        <v>-83300</v>
      </c>
      <c r="N10" s="77"/>
      <c r="O10" s="77"/>
      <c r="P10" s="77"/>
      <c r="Q10" s="77"/>
      <c r="R10" s="213">
        <f aca="true" t="shared" si="2" ref="R10:R30">D10+F10+J10+M10</f>
        <v>-4661590</v>
      </c>
      <c r="S10" s="77"/>
      <c r="T10" s="213">
        <f aca="true" t="shared" si="3" ref="T10:T30">B10+R10</f>
        <v>76668632</v>
      </c>
      <c r="V10" s="74"/>
      <c r="W10" s="236">
        <v>690000</v>
      </c>
      <c r="X10" s="237">
        <v>197000</v>
      </c>
      <c r="Y10" s="237">
        <v>58000</v>
      </c>
      <c r="Z10" s="237"/>
      <c r="AA10" s="238">
        <f t="shared" si="0"/>
        <v>945000</v>
      </c>
    </row>
    <row r="11" spans="1:27" s="9" customFormat="1" ht="12.75" customHeight="1">
      <c r="A11" s="75" t="s">
        <v>3</v>
      </c>
      <c r="B11" s="213">
        <f>'(A) Budget Summary'!C12</f>
        <v>59766882</v>
      </c>
      <c r="C11" s="80"/>
      <c r="D11" s="214">
        <v>-2681100</v>
      </c>
      <c r="E11" s="214"/>
      <c r="F11" s="214">
        <v>-307630</v>
      </c>
      <c r="G11" s="214"/>
      <c r="H11" s="215">
        <f t="shared" si="1"/>
        <v>56778152</v>
      </c>
      <c r="I11" s="214"/>
      <c r="J11" s="77"/>
      <c r="K11" s="77"/>
      <c r="L11" s="77"/>
      <c r="M11" s="77">
        <v>-58300</v>
      </c>
      <c r="N11" s="77"/>
      <c r="O11" s="77"/>
      <c r="P11" s="77"/>
      <c r="Q11" s="77"/>
      <c r="R11" s="213">
        <f t="shared" si="2"/>
        <v>-3047030</v>
      </c>
      <c r="S11" s="77"/>
      <c r="T11" s="213">
        <f t="shared" si="3"/>
        <v>56719852</v>
      </c>
      <c r="V11" s="74"/>
      <c r="W11" s="236">
        <v>383000</v>
      </c>
      <c r="X11" s="237">
        <v>113000</v>
      </c>
      <c r="Y11" s="237">
        <v>0</v>
      </c>
      <c r="Z11" s="237"/>
      <c r="AA11" s="238">
        <f t="shared" si="0"/>
        <v>496000</v>
      </c>
    </row>
    <row r="12" spans="1:27" s="9" customFormat="1" ht="12.75" customHeight="1">
      <c r="A12" s="75" t="s">
        <v>28</v>
      </c>
      <c r="B12" s="213">
        <f>'(A) Budget Summary'!C13</f>
        <v>64021941</v>
      </c>
      <c r="C12" s="80"/>
      <c r="D12" s="214">
        <v>-3760500</v>
      </c>
      <c r="E12" s="214"/>
      <c r="F12" s="214">
        <v>-442980</v>
      </c>
      <c r="G12" s="214"/>
      <c r="H12" s="215">
        <f t="shared" si="1"/>
        <v>59818461</v>
      </c>
      <c r="I12" s="214"/>
      <c r="J12" s="77"/>
      <c r="K12" s="77"/>
      <c r="L12" s="77"/>
      <c r="M12" s="77">
        <v>-84500</v>
      </c>
      <c r="N12" s="77"/>
      <c r="O12" s="77"/>
      <c r="P12" s="77"/>
      <c r="Q12" s="77"/>
      <c r="R12" s="213">
        <f t="shared" si="2"/>
        <v>-4287980</v>
      </c>
      <c r="S12" s="77"/>
      <c r="T12" s="213">
        <f t="shared" si="3"/>
        <v>59733961</v>
      </c>
      <c r="V12" s="74"/>
      <c r="W12" s="236">
        <v>460000</v>
      </c>
      <c r="X12" s="237">
        <v>157000</v>
      </c>
      <c r="Y12" s="237">
        <v>0</v>
      </c>
      <c r="Z12" s="237"/>
      <c r="AA12" s="238">
        <f t="shared" si="0"/>
        <v>617000</v>
      </c>
    </row>
    <row r="13" spans="1:27" s="9" customFormat="1" ht="12.75" customHeight="1">
      <c r="A13" s="75" t="s">
        <v>4</v>
      </c>
      <c r="B13" s="213">
        <f>'(A) Budget Summary'!C14</f>
        <v>105923822</v>
      </c>
      <c r="C13" s="80"/>
      <c r="D13" s="214">
        <v>-5133700</v>
      </c>
      <c r="E13" s="214"/>
      <c r="F13" s="214">
        <v>-575490</v>
      </c>
      <c r="G13" s="214"/>
      <c r="H13" s="215">
        <f t="shared" si="1"/>
        <v>100214632</v>
      </c>
      <c r="I13" s="214"/>
      <c r="J13" s="77"/>
      <c r="K13" s="77"/>
      <c r="L13" s="77"/>
      <c r="M13" s="77">
        <v>-107200</v>
      </c>
      <c r="N13" s="77"/>
      <c r="O13" s="77"/>
      <c r="P13" s="77"/>
      <c r="Q13" s="77"/>
      <c r="R13" s="213">
        <f t="shared" si="2"/>
        <v>-5816390</v>
      </c>
      <c r="S13" s="77"/>
      <c r="T13" s="213">
        <f t="shared" si="3"/>
        <v>100107432</v>
      </c>
      <c r="V13" s="74"/>
      <c r="W13" s="236">
        <v>777000</v>
      </c>
      <c r="X13" s="237">
        <v>228000</v>
      </c>
      <c r="Y13" s="237">
        <v>0</v>
      </c>
      <c r="Z13" s="237"/>
      <c r="AA13" s="238">
        <f t="shared" si="0"/>
        <v>1005000</v>
      </c>
    </row>
    <row r="14" spans="1:27" s="9" customFormat="1" ht="12.75" customHeight="1">
      <c r="A14" s="75" t="s">
        <v>5</v>
      </c>
      <c r="B14" s="213">
        <f>'(A) Budget Summary'!C15</f>
        <v>116085961</v>
      </c>
      <c r="C14" s="80"/>
      <c r="D14" s="214">
        <v>-7460700</v>
      </c>
      <c r="E14" s="214"/>
      <c r="F14" s="214">
        <v>-831800</v>
      </c>
      <c r="G14" s="214"/>
      <c r="H14" s="215">
        <f t="shared" si="1"/>
        <v>107793461</v>
      </c>
      <c r="I14" s="214"/>
      <c r="J14" s="77"/>
      <c r="K14" s="77"/>
      <c r="L14" s="77"/>
      <c r="M14" s="77">
        <v>-185900</v>
      </c>
      <c r="N14" s="77"/>
      <c r="O14" s="77"/>
      <c r="P14" s="77"/>
      <c r="Q14" s="77"/>
      <c r="R14" s="213">
        <f t="shared" si="2"/>
        <v>-8478400</v>
      </c>
      <c r="S14" s="77"/>
      <c r="T14" s="213">
        <f t="shared" si="3"/>
        <v>107607561</v>
      </c>
      <c r="V14" s="74"/>
      <c r="W14" s="236">
        <v>1058000</v>
      </c>
      <c r="X14" s="237">
        <v>306000</v>
      </c>
      <c r="Y14" s="237">
        <v>0</v>
      </c>
      <c r="Z14" s="237"/>
      <c r="AA14" s="238">
        <f t="shared" si="0"/>
        <v>1364000</v>
      </c>
    </row>
    <row r="15" spans="1:27" s="9" customFormat="1" ht="12.75" customHeight="1">
      <c r="A15" s="75" t="s">
        <v>6</v>
      </c>
      <c r="B15" s="213">
        <f>'(A) Budget Summary'!C16</f>
        <v>59408350</v>
      </c>
      <c r="C15" s="80"/>
      <c r="D15" s="214">
        <v>-2494200</v>
      </c>
      <c r="E15" s="214"/>
      <c r="F15" s="214">
        <v>-312340</v>
      </c>
      <c r="G15" s="214"/>
      <c r="H15" s="215">
        <f t="shared" si="1"/>
        <v>56601810</v>
      </c>
      <c r="I15" s="214"/>
      <c r="J15" s="77"/>
      <c r="K15" s="77"/>
      <c r="L15" s="77"/>
      <c r="M15" s="77">
        <v>-45200</v>
      </c>
      <c r="N15" s="77"/>
      <c r="O15" s="77"/>
      <c r="P15" s="77"/>
      <c r="Q15" s="77"/>
      <c r="R15" s="213">
        <f t="shared" si="2"/>
        <v>-2851740</v>
      </c>
      <c r="S15" s="77"/>
      <c r="T15" s="213">
        <f t="shared" si="3"/>
        <v>56556610</v>
      </c>
      <c r="V15" s="74"/>
      <c r="W15" s="236">
        <v>410000</v>
      </c>
      <c r="X15" s="237">
        <v>147000</v>
      </c>
      <c r="Y15" s="237">
        <v>0</v>
      </c>
      <c r="Z15" s="237"/>
      <c r="AA15" s="238">
        <f t="shared" si="0"/>
        <v>557000</v>
      </c>
    </row>
    <row r="16" spans="1:27" s="9" customFormat="1" ht="12.75" customHeight="1">
      <c r="A16" s="75" t="s">
        <v>7</v>
      </c>
      <c r="B16" s="213">
        <f>'(A) Budget Summary'!C17</f>
        <v>131395036.16</v>
      </c>
      <c r="C16" s="80"/>
      <c r="D16" s="214">
        <v>-7653700</v>
      </c>
      <c r="E16" s="214"/>
      <c r="F16" s="214">
        <v>-1012100</v>
      </c>
      <c r="G16" s="214"/>
      <c r="H16" s="215">
        <f t="shared" si="1"/>
        <v>122729236.16</v>
      </c>
      <c r="I16" s="214"/>
      <c r="J16" s="77"/>
      <c r="K16" s="77"/>
      <c r="L16" s="77"/>
      <c r="M16" s="77">
        <v>-187100</v>
      </c>
      <c r="N16" s="77"/>
      <c r="O16" s="77"/>
      <c r="P16" s="77"/>
      <c r="Q16" s="77"/>
      <c r="R16" s="213">
        <f t="shared" si="2"/>
        <v>-8852900</v>
      </c>
      <c r="S16" s="77"/>
      <c r="T16" s="213">
        <f t="shared" si="3"/>
        <v>122542136.16</v>
      </c>
      <c r="V16" s="74"/>
      <c r="W16" s="236">
        <v>1121000</v>
      </c>
      <c r="X16" s="237">
        <v>329000</v>
      </c>
      <c r="Y16" s="237">
        <v>0</v>
      </c>
      <c r="Z16" s="237"/>
      <c r="AA16" s="238">
        <f t="shared" si="0"/>
        <v>1450000</v>
      </c>
    </row>
    <row r="17" spans="1:27" s="9" customFormat="1" ht="12.75" customHeight="1">
      <c r="A17" s="75" t="s">
        <v>8</v>
      </c>
      <c r="B17" s="213">
        <f>'(A) Budget Summary'!C18</f>
        <v>96874129</v>
      </c>
      <c r="C17" s="80"/>
      <c r="D17" s="214">
        <v>-4761100</v>
      </c>
      <c r="E17" s="214"/>
      <c r="F17" s="214">
        <v>-584590</v>
      </c>
      <c r="G17" s="214"/>
      <c r="H17" s="215">
        <f t="shared" si="1"/>
        <v>91528439</v>
      </c>
      <c r="I17" s="214"/>
      <c r="J17" s="77"/>
      <c r="K17" s="77"/>
      <c r="L17" s="77"/>
      <c r="M17" s="77">
        <v>-108800</v>
      </c>
      <c r="N17" s="77"/>
      <c r="O17" s="77"/>
      <c r="P17" s="77"/>
      <c r="Q17" s="77"/>
      <c r="R17" s="213">
        <f t="shared" si="2"/>
        <v>-5454490</v>
      </c>
      <c r="S17" s="77"/>
      <c r="T17" s="213">
        <f t="shared" si="3"/>
        <v>91419639</v>
      </c>
      <c r="V17" s="74"/>
      <c r="W17" s="236">
        <v>637000</v>
      </c>
      <c r="X17" s="237">
        <v>254000</v>
      </c>
      <c r="Y17" s="237">
        <v>0</v>
      </c>
      <c r="Z17" s="237"/>
      <c r="AA17" s="238">
        <f t="shared" si="0"/>
        <v>891000</v>
      </c>
    </row>
    <row r="18" spans="1:27" s="9" customFormat="1" ht="12.75" customHeight="1">
      <c r="A18" s="75" t="s">
        <v>9</v>
      </c>
      <c r="B18" s="213">
        <f>'(A) Budget Summary'!C19</f>
        <v>21107751</v>
      </c>
      <c r="C18" s="80"/>
      <c r="D18" s="75">
        <f>-724700</f>
        <v>-724700</v>
      </c>
      <c r="E18" s="214"/>
      <c r="F18" s="214">
        <v>-75680</v>
      </c>
      <c r="G18" s="214"/>
      <c r="H18" s="215">
        <f t="shared" si="1"/>
        <v>20307371</v>
      </c>
      <c r="I18" s="214"/>
      <c r="J18" s="77">
        <v>724700</v>
      </c>
      <c r="K18" s="77"/>
      <c r="L18" s="77"/>
      <c r="M18" s="77">
        <v>-5900</v>
      </c>
      <c r="N18" s="77"/>
      <c r="O18" s="77"/>
      <c r="P18" s="77"/>
      <c r="Q18" s="77"/>
      <c r="R18" s="213">
        <f t="shared" si="2"/>
        <v>-81580</v>
      </c>
      <c r="S18" s="77"/>
      <c r="T18" s="213">
        <f t="shared" si="3"/>
        <v>21026171</v>
      </c>
      <c r="V18" s="74"/>
      <c r="W18" s="236">
        <v>87000</v>
      </c>
      <c r="X18" s="237">
        <v>45000</v>
      </c>
      <c r="Y18" s="237">
        <v>0</v>
      </c>
      <c r="Z18" s="237"/>
      <c r="AA18" s="238">
        <f t="shared" si="0"/>
        <v>132000</v>
      </c>
    </row>
    <row r="19" spans="1:27" s="9" customFormat="1" ht="12.75" customHeight="1">
      <c r="A19" s="75" t="s">
        <v>10</v>
      </c>
      <c r="B19" s="213">
        <f>'(A) Budget Summary'!C20</f>
        <v>51339423</v>
      </c>
      <c r="C19" s="80"/>
      <c r="D19" s="214">
        <v>-1860700</v>
      </c>
      <c r="E19" s="214"/>
      <c r="F19" s="214">
        <v>-208340</v>
      </c>
      <c r="G19" s="214"/>
      <c r="H19" s="215">
        <f t="shared" si="1"/>
        <v>49270383</v>
      </c>
      <c r="I19" s="214"/>
      <c r="J19" s="77"/>
      <c r="K19" s="77"/>
      <c r="L19" s="77"/>
      <c r="M19" s="77">
        <v>-24100</v>
      </c>
      <c r="N19" s="77"/>
      <c r="O19" s="77"/>
      <c r="P19" s="77"/>
      <c r="Q19" s="77"/>
      <c r="R19" s="213">
        <f t="shared" si="2"/>
        <v>-2093140</v>
      </c>
      <c r="S19" s="77"/>
      <c r="T19" s="213">
        <f t="shared" si="3"/>
        <v>49246283</v>
      </c>
      <c r="V19" s="74"/>
      <c r="W19" s="236">
        <v>258000</v>
      </c>
      <c r="X19" s="237">
        <v>78000</v>
      </c>
      <c r="Y19" s="237">
        <v>0</v>
      </c>
      <c r="Z19" s="237"/>
      <c r="AA19" s="238">
        <f t="shared" si="0"/>
        <v>336000</v>
      </c>
    </row>
    <row r="20" spans="1:27" s="9" customFormat="1" ht="12.75" customHeight="1">
      <c r="A20" s="75" t="s">
        <v>11</v>
      </c>
      <c r="B20" s="213">
        <f>'(A) Budget Summary'!C21</f>
        <v>131345346</v>
      </c>
      <c r="C20" s="80"/>
      <c r="D20" s="214">
        <v>-7865600</v>
      </c>
      <c r="E20" s="214"/>
      <c r="F20" s="214">
        <v>-909550</v>
      </c>
      <c r="G20" s="214"/>
      <c r="H20" s="215">
        <f t="shared" si="1"/>
        <v>122570196</v>
      </c>
      <c r="I20" s="214"/>
      <c r="J20" s="77"/>
      <c r="K20" s="77"/>
      <c r="L20" s="77"/>
      <c r="M20" s="77">
        <v>-190300</v>
      </c>
      <c r="N20" s="77"/>
      <c r="O20" s="77"/>
      <c r="P20" s="77"/>
      <c r="Q20" s="77"/>
      <c r="R20" s="213">
        <f t="shared" si="2"/>
        <v>-8965450</v>
      </c>
      <c r="S20" s="77"/>
      <c r="T20" s="213">
        <f t="shared" si="3"/>
        <v>122379896</v>
      </c>
      <c r="V20" s="74"/>
      <c r="W20" s="236">
        <v>1066000</v>
      </c>
      <c r="X20" s="237">
        <v>307000</v>
      </c>
      <c r="Y20" s="237">
        <v>0</v>
      </c>
      <c r="Z20" s="237"/>
      <c r="AA20" s="238">
        <f t="shared" si="0"/>
        <v>1373000</v>
      </c>
    </row>
    <row r="21" spans="1:27" s="9" customFormat="1" ht="12.75" customHeight="1">
      <c r="A21" s="75" t="s">
        <v>12</v>
      </c>
      <c r="B21" s="213">
        <f>'(A) Budget Summary'!C22</f>
        <v>96644062</v>
      </c>
      <c r="C21" s="80"/>
      <c r="D21" s="214">
        <v>-4918100</v>
      </c>
      <c r="E21" s="214"/>
      <c r="F21" s="214">
        <v>-640420</v>
      </c>
      <c r="G21" s="214"/>
      <c r="H21" s="215">
        <f t="shared" si="1"/>
        <v>91085542</v>
      </c>
      <c r="I21" s="214"/>
      <c r="J21" s="77"/>
      <c r="K21" s="77"/>
      <c r="L21" s="77"/>
      <c r="M21" s="77">
        <v>-101500</v>
      </c>
      <c r="N21" s="77"/>
      <c r="O21" s="77"/>
      <c r="P21" s="77"/>
      <c r="Q21" s="77"/>
      <c r="R21" s="213">
        <f t="shared" si="2"/>
        <v>-5660020</v>
      </c>
      <c r="S21" s="77"/>
      <c r="T21" s="213">
        <f t="shared" si="3"/>
        <v>90984042</v>
      </c>
      <c r="V21" s="74"/>
      <c r="W21" s="236">
        <v>742000</v>
      </c>
      <c r="X21" s="237">
        <v>246000</v>
      </c>
      <c r="Y21" s="237">
        <v>0</v>
      </c>
      <c r="Z21" s="237"/>
      <c r="AA21" s="238">
        <f t="shared" si="0"/>
        <v>988000</v>
      </c>
    </row>
    <row r="22" spans="1:27" s="9" customFormat="1" ht="12.75" customHeight="1">
      <c r="A22" s="75" t="s">
        <v>13</v>
      </c>
      <c r="B22" s="213">
        <f>'(A) Budget Summary'!C23</f>
        <v>107426677</v>
      </c>
      <c r="C22" s="80"/>
      <c r="D22" s="214">
        <v>-5857300</v>
      </c>
      <c r="E22" s="214"/>
      <c r="F22" s="214">
        <v>-729040</v>
      </c>
      <c r="G22" s="214"/>
      <c r="H22" s="215">
        <f t="shared" si="1"/>
        <v>100840337</v>
      </c>
      <c r="I22" s="214"/>
      <c r="J22" s="77"/>
      <c r="K22" s="77"/>
      <c r="L22" s="77"/>
      <c r="M22" s="77">
        <v>-137900</v>
      </c>
      <c r="N22" s="77"/>
      <c r="O22" s="77"/>
      <c r="P22" s="77"/>
      <c r="Q22" s="77"/>
      <c r="R22" s="213">
        <f t="shared" si="2"/>
        <v>-6724240</v>
      </c>
      <c r="S22" s="77"/>
      <c r="T22" s="213">
        <f t="shared" si="3"/>
        <v>100702437</v>
      </c>
      <c r="V22" s="74"/>
      <c r="W22" s="236">
        <v>895000</v>
      </c>
      <c r="X22" s="237">
        <v>242000</v>
      </c>
      <c r="Y22" s="237">
        <v>0</v>
      </c>
      <c r="Z22" s="237"/>
      <c r="AA22" s="238">
        <f t="shared" si="0"/>
        <v>1137000</v>
      </c>
    </row>
    <row r="23" spans="1:27" s="9" customFormat="1" ht="12.75" customHeight="1">
      <c r="A23" s="75" t="s">
        <v>14</v>
      </c>
      <c r="B23" s="213">
        <f>'(A) Budget Summary'!C24</f>
        <v>75776878</v>
      </c>
      <c r="C23" s="80"/>
      <c r="D23" s="214">
        <v>-3819000</v>
      </c>
      <c r="E23" s="214"/>
      <c r="F23" s="214">
        <v>-447570</v>
      </c>
      <c r="G23" s="214"/>
      <c r="H23" s="215">
        <f t="shared" si="1"/>
        <v>71510308</v>
      </c>
      <c r="I23" s="214"/>
      <c r="J23" s="77"/>
      <c r="K23" s="77"/>
      <c r="L23" s="77"/>
      <c r="M23" s="77">
        <v>-96500</v>
      </c>
      <c r="N23" s="77"/>
      <c r="O23" s="77"/>
      <c r="P23" s="77"/>
      <c r="Q23" s="77"/>
      <c r="R23" s="213">
        <f t="shared" si="2"/>
        <v>-4363070</v>
      </c>
      <c r="S23" s="77"/>
      <c r="T23" s="213">
        <f t="shared" si="3"/>
        <v>71413808</v>
      </c>
      <c r="V23" s="74"/>
      <c r="W23" s="236">
        <v>575000</v>
      </c>
      <c r="X23" s="237">
        <v>188000</v>
      </c>
      <c r="Y23" s="237">
        <v>0</v>
      </c>
      <c r="Z23" s="237"/>
      <c r="AA23" s="238">
        <f t="shared" si="0"/>
        <v>763000</v>
      </c>
    </row>
    <row r="24" spans="1:27" s="9" customFormat="1" ht="12.75" customHeight="1">
      <c r="A24" s="75" t="s">
        <v>15</v>
      </c>
      <c r="B24" s="213">
        <f>'(A) Budget Summary'!C25</f>
        <v>133941246</v>
      </c>
      <c r="C24" s="80"/>
      <c r="D24" s="214">
        <v>-7859700</v>
      </c>
      <c r="E24" s="214"/>
      <c r="F24" s="214">
        <v>-942950</v>
      </c>
      <c r="G24" s="214"/>
      <c r="H24" s="215">
        <f t="shared" si="1"/>
        <v>125138596</v>
      </c>
      <c r="I24" s="214"/>
      <c r="J24" s="77"/>
      <c r="K24" s="77"/>
      <c r="L24" s="77"/>
      <c r="M24" s="77">
        <v>-175600</v>
      </c>
      <c r="N24" s="77"/>
      <c r="O24" s="77"/>
      <c r="P24" s="77"/>
      <c r="Q24" s="77"/>
      <c r="R24" s="213">
        <f t="shared" si="2"/>
        <v>-8978250</v>
      </c>
      <c r="S24" s="77"/>
      <c r="T24" s="213">
        <f t="shared" si="3"/>
        <v>124962996</v>
      </c>
      <c r="V24" s="74"/>
      <c r="W24" s="236">
        <v>1231000</v>
      </c>
      <c r="X24" s="237">
        <v>374000</v>
      </c>
      <c r="Y24" s="237">
        <v>0</v>
      </c>
      <c r="Z24" s="237"/>
      <c r="AA24" s="238">
        <f t="shared" si="0"/>
        <v>1605000</v>
      </c>
    </row>
    <row r="25" spans="1:27" s="9" customFormat="1" ht="12.75" customHeight="1">
      <c r="A25" s="75" t="s">
        <v>16</v>
      </c>
      <c r="B25" s="213">
        <f>'(A) Budget Summary'!C26</f>
        <v>111787439</v>
      </c>
      <c r="C25" s="80"/>
      <c r="D25" s="214">
        <v>-6760000</v>
      </c>
      <c r="E25" s="214"/>
      <c r="F25" s="214">
        <v>-833880</v>
      </c>
      <c r="G25" s="214"/>
      <c r="H25" s="215">
        <f t="shared" si="1"/>
        <v>104193559</v>
      </c>
      <c r="I25" s="214"/>
      <c r="J25" s="77"/>
      <c r="K25" s="77"/>
      <c r="L25" s="77"/>
      <c r="M25" s="77">
        <v>-162600</v>
      </c>
      <c r="N25" s="77"/>
      <c r="O25" s="77"/>
      <c r="P25" s="77"/>
      <c r="Q25" s="77"/>
      <c r="R25" s="213">
        <f t="shared" si="2"/>
        <v>-7756480</v>
      </c>
      <c r="S25" s="77"/>
      <c r="T25" s="213">
        <f t="shared" si="3"/>
        <v>104030959</v>
      </c>
      <c r="V25" s="74"/>
      <c r="W25" s="236">
        <v>998000</v>
      </c>
      <c r="X25" s="237">
        <v>267000</v>
      </c>
      <c r="Y25" s="237">
        <v>0</v>
      </c>
      <c r="Z25" s="237"/>
      <c r="AA25" s="238">
        <f t="shared" si="0"/>
        <v>1265000</v>
      </c>
    </row>
    <row r="26" spans="1:27" s="9" customFormat="1" ht="12.75" customHeight="1">
      <c r="A26" s="75" t="s">
        <v>17</v>
      </c>
      <c r="B26" s="213">
        <f>'(A) Budget Summary'!C27</f>
        <v>101113122</v>
      </c>
      <c r="C26" s="80"/>
      <c r="D26" s="214">
        <v>-6466600</v>
      </c>
      <c r="E26" s="214"/>
      <c r="F26" s="214">
        <v>-821440</v>
      </c>
      <c r="G26" s="214"/>
      <c r="H26" s="215">
        <f t="shared" si="1"/>
        <v>93825082</v>
      </c>
      <c r="I26" s="214"/>
      <c r="J26" s="77"/>
      <c r="K26" s="77"/>
      <c r="L26" s="77"/>
      <c r="M26" s="77">
        <v>-151100</v>
      </c>
      <c r="N26" s="77"/>
      <c r="O26" s="77"/>
      <c r="P26" s="77"/>
      <c r="Q26" s="77"/>
      <c r="R26" s="213">
        <f t="shared" si="2"/>
        <v>-7439140</v>
      </c>
      <c r="S26" s="77"/>
      <c r="T26" s="213">
        <f t="shared" si="3"/>
        <v>93673982</v>
      </c>
      <c r="V26" s="74"/>
      <c r="W26" s="236">
        <v>956000</v>
      </c>
      <c r="X26" s="237">
        <v>327000</v>
      </c>
      <c r="Y26" s="237">
        <v>62000</v>
      </c>
      <c r="Z26" s="237"/>
      <c r="AA26" s="238">
        <f t="shared" si="0"/>
        <v>1345000</v>
      </c>
    </row>
    <row r="27" spans="1:27" s="9" customFormat="1" ht="12.75" customHeight="1">
      <c r="A27" s="75" t="s">
        <v>18</v>
      </c>
      <c r="B27" s="213">
        <f>'(A) Budget Summary'!C28</f>
        <v>89543438</v>
      </c>
      <c r="C27" s="80"/>
      <c r="D27" s="214">
        <v>-5259900</v>
      </c>
      <c r="E27" s="214"/>
      <c r="F27" s="214">
        <v>-641770</v>
      </c>
      <c r="G27" s="214"/>
      <c r="H27" s="215">
        <f t="shared" si="1"/>
        <v>83641768</v>
      </c>
      <c r="I27" s="214"/>
      <c r="J27" s="77"/>
      <c r="K27" s="77"/>
      <c r="L27" s="77"/>
      <c r="M27" s="77">
        <v>-116400</v>
      </c>
      <c r="N27" s="77"/>
      <c r="O27" s="77"/>
      <c r="P27" s="77"/>
      <c r="Q27" s="77"/>
      <c r="R27" s="213">
        <f t="shared" si="2"/>
        <v>-6018070</v>
      </c>
      <c r="S27" s="77"/>
      <c r="T27" s="213">
        <f t="shared" si="3"/>
        <v>83525368</v>
      </c>
      <c r="V27" s="74"/>
      <c r="W27" s="236">
        <v>872000</v>
      </c>
      <c r="X27" s="237">
        <v>294000</v>
      </c>
      <c r="Y27" s="237">
        <v>1887000</v>
      </c>
      <c r="Z27" s="237"/>
      <c r="AA27" s="238">
        <f t="shared" si="0"/>
        <v>3053000</v>
      </c>
    </row>
    <row r="28" spans="1:27" s="9" customFormat="1" ht="12.75" customHeight="1">
      <c r="A28" s="75" t="s">
        <v>19</v>
      </c>
      <c r="B28" s="213">
        <f>'(A) Budget Summary'!C29</f>
        <v>51833482</v>
      </c>
      <c r="C28" s="80"/>
      <c r="D28" s="214">
        <v>-2519100</v>
      </c>
      <c r="E28" s="214"/>
      <c r="F28" s="214">
        <v>-294330</v>
      </c>
      <c r="G28" s="214"/>
      <c r="H28" s="215">
        <f t="shared" si="1"/>
        <v>49020052</v>
      </c>
      <c r="I28" s="214"/>
      <c r="J28" s="77"/>
      <c r="K28" s="77"/>
      <c r="L28" s="77"/>
      <c r="M28" s="77">
        <v>-49800</v>
      </c>
      <c r="N28" s="77"/>
      <c r="O28" s="77"/>
      <c r="P28" s="77"/>
      <c r="Q28" s="77"/>
      <c r="R28" s="213">
        <f t="shared" si="2"/>
        <v>-2863230</v>
      </c>
      <c r="S28" s="77"/>
      <c r="T28" s="213">
        <f t="shared" si="3"/>
        <v>48970252</v>
      </c>
      <c r="V28" s="74"/>
      <c r="W28" s="236">
        <v>382000</v>
      </c>
      <c r="X28" s="237">
        <v>107000</v>
      </c>
      <c r="Y28" s="237">
        <v>0</v>
      </c>
      <c r="Z28" s="237"/>
      <c r="AA28" s="238">
        <f t="shared" si="0"/>
        <v>489000</v>
      </c>
    </row>
    <row r="29" spans="1:27" s="9" customFormat="1" ht="12.75" customHeight="1">
      <c r="A29" s="75" t="s">
        <v>20</v>
      </c>
      <c r="B29" s="213">
        <f>'(A) Budget Summary'!C30</f>
        <v>46311423</v>
      </c>
      <c r="C29" s="80"/>
      <c r="D29" s="214">
        <v>-2294700</v>
      </c>
      <c r="E29" s="214"/>
      <c r="F29" s="214">
        <v>-294840</v>
      </c>
      <c r="G29" s="214"/>
      <c r="H29" s="215">
        <f t="shared" si="1"/>
        <v>43721883</v>
      </c>
      <c r="I29" s="214"/>
      <c r="J29" s="77"/>
      <c r="K29" s="77"/>
      <c r="L29" s="77"/>
      <c r="M29" s="77">
        <v>-43700</v>
      </c>
      <c r="N29" s="77"/>
      <c r="O29" s="77"/>
      <c r="P29" s="77"/>
      <c r="Q29" s="77"/>
      <c r="R29" s="213">
        <f t="shared" si="2"/>
        <v>-2633240</v>
      </c>
      <c r="S29" s="77"/>
      <c r="T29" s="213">
        <f t="shared" si="3"/>
        <v>43678183</v>
      </c>
      <c r="V29" s="74"/>
      <c r="W29" s="236">
        <v>356000</v>
      </c>
      <c r="X29" s="237">
        <v>109000</v>
      </c>
      <c r="Y29" s="237">
        <v>0</v>
      </c>
      <c r="Z29" s="237"/>
      <c r="AA29" s="238">
        <f t="shared" si="0"/>
        <v>465000</v>
      </c>
    </row>
    <row r="30" spans="1:27" s="9" customFormat="1" ht="12.75" customHeight="1">
      <c r="A30" s="75" t="s">
        <v>21</v>
      </c>
      <c r="B30" s="213">
        <f>'(A) Budget Summary'!C31</f>
        <v>46552297</v>
      </c>
      <c r="C30" s="80"/>
      <c r="D30" s="214">
        <v>-2059900</v>
      </c>
      <c r="E30" s="214"/>
      <c r="F30" s="214">
        <v>-250350</v>
      </c>
      <c r="G30" s="214"/>
      <c r="H30" s="215">
        <f t="shared" si="1"/>
        <v>44242047</v>
      </c>
      <c r="I30" s="214"/>
      <c r="J30" s="77"/>
      <c r="K30" s="77"/>
      <c r="L30" s="77"/>
      <c r="M30" s="77">
        <v>-43100</v>
      </c>
      <c r="N30" s="77"/>
      <c r="O30" s="77"/>
      <c r="P30" s="77"/>
      <c r="Q30" s="77"/>
      <c r="R30" s="213">
        <f t="shared" si="2"/>
        <v>-2353350</v>
      </c>
      <c r="S30" s="77"/>
      <c r="T30" s="213">
        <f t="shared" si="3"/>
        <v>44198947</v>
      </c>
      <c r="V30" s="74"/>
      <c r="W30" s="236">
        <v>344000</v>
      </c>
      <c r="X30" s="237">
        <v>112000</v>
      </c>
      <c r="Y30" s="237">
        <v>0</v>
      </c>
      <c r="Z30" s="237"/>
      <c r="AA30" s="238">
        <f t="shared" si="0"/>
        <v>456000</v>
      </c>
    </row>
    <row r="31" spans="1:27" s="9" customFormat="1" ht="7.5" customHeight="1">
      <c r="A31" s="75"/>
      <c r="B31" s="213"/>
      <c r="C31" s="80"/>
      <c r="D31" s="80"/>
      <c r="E31" s="80"/>
      <c r="F31" s="80"/>
      <c r="G31" s="80"/>
      <c r="H31" s="213"/>
      <c r="I31" s="80"/>
      <c r="J31" s="77"/>
      <c r="K31" s="77"/>
      <c r="L31" s="77"/>
      <c r="M31" s="77"/>
      <c r="N31" s="77"/>
      <c r="O31" s="77"/>
      <c r="P31" s="77"/>
      <c r="Q31" s="77"/>
      <c r="R31" s="213"/>
      <c r="S31" s="77"/>
      <c r="T31" s="213"/>
      <c r="V31" s="233"/>
      <c r="W31" s="236"/>
      <c r="X31" s="237"/>
      <c r="Y31" s="237"/>
      <c r="Z31" s="237"/>
      <c r="AA31" s="238"/>
    </row>
    <row r="32" spans="1:27" s="13" customFormat="1" ht="15" customHeight="1">
      <c r="A32" s="217" t="s">
        <v>22</v>
      </c>
      <c r="B32" s="218">
        <f>SUM(B8:B30)</f>
        <v>1872388736.1599998</v>
      </c>
      <c r="C32" s="219"/>
      <c r="D32" s="219">
        <f>SUM(D8:D31)</f>
        <v>-100000000</v>
      </c>
      <c r="E32" s="219"/>
      <c r="F32" s="219">
        <f>SUM(F8:F31)</f>
        <v>-12118070</v>
      </c>
      <c r="G32" s="219"/>
      <c r="H32" s="218">
        <f>SUM(H8:H31)</f>
        <v>1760270666.1599998</v>
      </c>
      <c r="I32" s="219"/>
      <c r="J32" s="219">
        <f>SUM(J8:J30)</f>
        <v>2372800</v>
      </c>
      <c r="K32" s="219"/>
      <c r="L32" s="219"/>
      <c r="M32" s="219">
        <f>SUM(M8:M30)</f>
        <v>-2217000</v>
      </c>
      <c r="N32" s="219"/>
      <c r="O32" s="219">
        <f>SUM(O8:O31)</f>
        <v>0</v>
      </c>
      <c r="P32" s="219"/>
      <c r="Q32" s="219"/>
      <c r="R32" s="218">
        <f>SUM(R8:R31)</f>
        <v>-111962270</v>
      </c>
      <c r="S32" s="219"/>
      <c r="T32" s="218">
        <f>SUM(T8:T31)</f>
        <v>1760426466.1599998</v>
      </c>
      <c r="V32" s="242"/>
      <c r="W32" s="243">
        <f>SUM(W8:W31)</f>
        <v>14871000</v>
      </c>
      <c r="X32" s="243">
        <f>SUM(X8:X31)</f>
        <v>4600000</v>
      </c>
      <c r="Y32" s="243">
        <f>SUM(Y8:Y30)</f>
        <v>2754000</v>
      </c>
      <c r="Z32" s="243"/>
      <c r="AA32" s="328">
        <f>SUM(AA8:AA31)</f>
        <v>22225000</v>
      </c>
    </row>
    <row r="33" spans="1:27" s="9" customFormat="1" ht="9" customHeight="1">
      <c r="A33" s="75"/>
      <c r="B33" s="213"/>
      <c r="C33" s="80"/>
      <c r="D33" s="80"/>
      <c r="E33" s="80"/>
      <c r="F33" s="80"/>
      <c r="G33" s="80"/>
      <c r="H33" s="213"/>
      <c r="I33" s="80"/>
      <c r="J33" s="77"/>
      <c r="K33" s="77"/>
      <c r="L33" s="77"/>
      <c r="M33" s="77"/>
      <c r="N33" s="77"/>
      <c r="O33" s="77"/>
      <c r="P33" s="77"/>
      <c r="Q33" s="77"/>
      <c r="R33" s="213"/>
      <c r="S33" s="77"/>
      <c r="T33" s="213"/>
      <c r="V33" s="233"/>
      <c r="W33" s="236"/>
      <c r="X33" s="237"/>
      <c r="Y33" s="237"/>
      <c r="Z33" s="237"/>
      <c r="AA33" s="238"/>
    </row>
    <row r="34" spans="1:27" s="9" customFormat="1" ht="12.75" customHeight="1">
      <c r="A34" s="75" t="s">
        <v>23</v>
      </c>
      <c r="B34" s="213">
        <f>'(A) Budget Summary'!C35</f>
        <v>64433802</v>
      </c>
      <c r="C34" s="80"/>
      <c r="D34" s="214">
        <v>0</v>
      </c>
      <c r="E34" s="214"/>
      <c r="F34" s="220">
        <v>-220113</v>
      </c>
      <c r="G34" s="214"/>
      <c r="H34" s="215">
        <f>B34+D34+F34</f>
        <v>64213689</v>
      </c>
      <c r="I34" s="214"/>
      <c r="J34" s="77">
        <v>0</v>
      </c>
      <c r="K34" s="77"/>
      <c r="L34" s="77"/>
      <c r="M34" s="77">
        <v>0</v>
      </c>
      <c r="N34" s="77"/>
      <c r="O34" s="77" t="e">
        <f>ROUND((#REF!*7305)/100,0)*100</f>
        <v>#REF!</v>
      </c>
      <c r="P34" s="77"/>
      <c r="Q34" s="77"/>
      <c r="R34" s="213">
        <f aca="true" t="shared" si="4" ref="R34:R40">D34+F34+J34+M34</f>
        <v>-220113</v>
      </c>
      <c r="S34" s="77"/>
      <c r="T34" s="213">
        <f aca="true" t="shared" si="5" ref="T34:T40">B34+R34</f>
        <v>64213689</v>
      </c>
      <c r="V34" s="233"/>
      <c r="W34" s="236">
        <v>215000</v>
      </c>
      <c r="X34" s="237">
        <v>0</v>
      </c>
      <c r="Y34" s="237">
        <v>0</v>
      </c>
      <c r="Z34" s="237"/>
      <c r="AA34" s="238">
        <f aca="true" t="shared" si="6" ref="AA34:AA40">SUM(W34:Z34)</f>
        <v>215000</v>
      </c>
    </row>
    <row r="35" spans="1:27" s="9" customFormat="1" ht="12.75" customHeight="1">
      <c r="A35" s="75" t="s">
        <v>29</v>
      </c>
      <c r="B35" s="213">
        <f>'(A) Budget Summary'!C36</f>
        <v>981735</v>
      </c>
      <c r="C35" s="80"/>
      <c r="D35" s="214">
        <v>0</v>
      </c>
      <c r="E35" s="75"/>
      <c r="F35" s="214">
        <v>0</v>
      </c>
      <c r="G35" s="75"/>
      <c r="H35" s="215">
        <f aca="true" t="shared" si="7" ref="H35:H40">B35+D35+F35</f>
        <v>981735</v>
      </c>
      <c r="I35" s="75"/>
      <c r="J35" s="77">
        <v>0</v>
      </c>
      <c r="K35" s="77"/>
      <c r="L35" s="77"/>
      <c r="M35" s="77">
        <v>0</v>
      </c>
      <c r="N35" s="77"/>
      <c r="O35" s="77"/>
      <c r="P35" s="77"/>
      <c r="Q35" s="77"/>
      <c r="R35" s="213">
        <f t="shared" si="4"/>
        <v>0</v>
      </c>
      <c r="S35" s="77"/>
      <c r="T35" s="213">
        <f t="shared" si="5"/>
        <v>981735</v>
      </c>
      <c r="V35" s="233"/>
      <c r="W35" s="236">
        <v>0</v>
      </c>
      <c r="X35" s="237">
        <v>0</v>
      </c>
      <c r="Y35" s="237">
        <v>0</v>
      </c>
      <c r="Z35" s="237"/>
      <c r="AA35" s="238">
        <f t="shared" si="6"/>
        <v>0</v>
      </c>
    </row>
    <row r="36" spans="1:27" s="9" customFormat="1" ht="12.75" customHeight="1">
      <c r="A36" s="75" t="s">
        <v>24</v>
      </c>
      <c r="B36" s="213">
        <f>'(A) Budget Summary'!C37</f>
        <v>2269496</v>
      </c>
      <c r="C36" s="80"/>
      <c r="D36" s="214">
        <v>0</v>
      </c>
      <c r="E36" s="75"/>
      <c r="F36" s="214">
        <v>0</v>
      </c>
      <c r="G36" s="75"/>
      <c r="H36" s="215">
        <f t="shared" si="7"/>
        <v>2269496</v>
      </c>
      <c r="I36" s="75"/>
      <c r="J36" s="77">
        <v>0</v>
      </c>
      <c r="K36" s="77"/>
      <c r="L36" s="77"/>
      <c r="M36" s="77">
        <v>0</v>
      </c>
      <c r="N36" s="77"/>
      <c r="O36" s="77"/>
      <c r="P36" s="77"/>
      <c r="Q36" s="77"/>
      <c r="R36" s="213">
        <f t="shared" si="4"/>
        <v>0</v>
      </c>
      <c r="S36" s="77"/>
      <c r="T36" s="213">
        <f t="shared" si="5"/>
        <v>2269496</v>
      </c>
      <c r="V36" s="233"/>
      <c r="W36" s="236">
        <v>0</v>
      </c>
      <c r="X36" s="237">
        <v>0</v>
      </c>
      <c r="Y36" s="237">
        <v>0</v>
      </c>
      <c r="Z36" s="237"/>
      <c r="AA36" s="238">
        <f t="shared" si="6"/>
        <v>0</v>
      </c>
    </row>
    <row r="37" spans="1:27" s="9" customFormat="1" ht="12.75" customHeight="1">
      <c r="A37" s="75" t="s">
        <v>25</v>
      </c>
      <c r="B37" s="213">
        <f>'(A) Budget Summary'!C38</f>
        <v>57800</v>
      </c>
      <c r="C37" s="80"/>
      <c r="D37" s="214">
        <v>0</v>
      </c>
      <c r="E37" s="75"/>
      <c r="F37" s="214">
        <v>0</v>
      </c>
      <c r="G37" s="75"/>
      <c r="H37" s="215">
        <f t="shared" si="7"/>
        <v>57800</v>
      </c>
      <c r="I37" s="75"/>
      <c r="J37" s="77">
        <v>0</v>
      </c>
      <c r="K37" s="77"/>
      <c r="L37" s="77"/>
      <c r="M37" s="77">
        <v>0</v>
      </c>
      <c r="N37" s="77"/>
      <c r="O37" s="77" t="e">
        <f>ROUND((#REF!*7305)/100,0)*100</f>
        <v>#REF!</v>
      </c>
      <c r="P37" s="77"/>
      <c r="Q37" s="77"/>
      <c r="R37" s="213">
        <f t="shared" si="4"/>
        <v>0</v>
      </c>
      <c r="S37" s="77"/>
      <c r="T37" s="213">
        <f t="shared" si="5"/>
        <v>57800</v>
      </c>
      <c r="V37" s="233"/>
      <c r="W37" s="236">
        <v>0</v>
      </c>
      <c r="X37" s="237">
        <v>0</v>
      </c>
      <c r="Y37" s="237">
        <v>0</v>
      </c>
      <c r="Z37" s="237"/>
      <c r="AA37" s="238">
        <f t="shared" si="6"/>
        <v>0</v>
      </c>
    </row>
    <row r="38" spans="1:27" s="9" customFormat="1" ht="12.75" customHeight="1">
      <c r="A38" s="75" t="s">
        <v>26</v>
      </c>
      <c r="B38" s="213">
        <f>'(A) Budget Summary'!C39</f>
        <v>201141431</v>
      </c>
      <c r="C38" s="80"/>
      <c r="D38" s="214">
        <v>0</v>
      </c>
      <c r="E38" s="214"/>
      <c r="F38" s="214">
        <f>-26182880</f>
        <v>-26182880</v>
      </c>
      <c r="G38" s="214"/>
      <c r="H38" s="215">
        <f t="shared" si="7"/>
        <v>174958551</v>
      </c>
      <c r="I38" s="214"/>
      <c r="J38" s="77">
        <f>-50000+5545000+1096000-1648100-724700</f>
        <v>4218200</v>
      </c>
      <c r="K38" s="280">
        <v>2</v>
      </c>
      <c r="L38" s="221"/>
      <c r="M38" s="77">
        <f>2217000+1310000</f>
        <v>3527000</v>
      </c>
      <c r="N38" s="77"/>
      <c r="O38" s="77"/>
      <c r="P38" s="77"/>
      <c r="Q38" s="77"/>
      <c r="R38" s="213">
        <f t="shared" si="4"/>
        <v>-18437680</v>
      </c>
      <c r="S38" s="77"/>
      <c r="T38" s="213">
        <f t="shared" si="5"/>
        <v>182703751</v>
      </c>
      <c r="V38" s="233"/>
      <c r="W38" s="236">
        <v>0</v>
      </c>
      <c r="X38" s="237">
        <v>0</v>
      </c>
      <c r="Y38" s="237">
        <v>0</v>
      </c>
      <c r="Z38" s="237"/>
      <c r="AA38" s="238">
        <f t="shared" si="6"/>
        <v>0</v>
      </c>
    </row>
    <row r="39" spans="1:27" s="9" customFormat="1" ht="12.75" customHeight="1">
      <c r="A39" s="75" t="s">
        <v>123</v>
      </c>
      <c r="B39" s="213">
        <f>'(A) Budget Summary'!C40</f>
        <v>0</v>
      </c>
      <c r="C39" s="80"/>
      <c r="D39" s="214">
        <v>0</v>
      </c>
      <c r="E39" s="214"/>
      <c r="F39" s="214">
        <v>0</v>
      </c>
      <c r="G39" s="214"/>
      <c r="H39" s="215">
        <f t="shared" si="7"/>
        <v>0</v>
      </c>
      <c r="I39" s="214"/>
      <c r="J39" s="77">
        <v>0</v>
      </c>
      <c r="K39" s="280"/>
      <c r="L39" s="221"/>
      <c r="M39" s="77">
        <v>0</v>
      </c>
      <c r="N39" s="77"/>
      <c r="O39" s="77"/>
      <c r="P39" s="77"/>
      <c r="Q39" s="77"/>
      <c r="R39" s="213">
        <f t="shared" si="4"/>
        <v>0</v>
      </c>
      <c r="S39" s="77"/>
      <c r="T39" s="213">
        <f t="shared" si="5"/>
        <v>0</v>
      </c>
      <c r="V39" s="233"/>
      <c r="W39" s="236">
        <v>0</v>
      </c>
      <c r="X39" s="237">
        <v>0</v>
      </c>
      <c r="Y39" s="237">
        <v>0</v>
      </c>
      <c r="Z39" s="237"/>
      <c r="AA39" s="238">
        <f t="shared" si="6"/>
        <v>0</v>
      </c>
    </row>
    <row r="40" spans="1:27" s="9" customFormat="1" ht="12.75" customHeight="1">
      <c r="A40" s="75" t="s">
        <v>124</v>
      </c>
      <c r="B40" s="213">
        <f>'(A) Budget Summary'!C41</f>
        <v>0</v>
      </c>
      <c r="C40" s="80"/>
      <c r="D40" s="214">
        <v>0</v>
      </c>
      <c r="E40" s="214"/>
      <c r="F40" s="214">
        <v>0</v>
      </c>
      <c r="G40" s="214"/>
      <c r="H40" s="215">
        <f t="shared" si="7"/>
        <v>0</v>
      </c>
      <c r="I40" s="214"/>
      <c r="J40" s="77">
        <v>189775000</v>
      </c>
      <c r="K40" s="280">
        <v>3</v>
      </c>
      <c r="L40" s="221"/>
      <c r="M40" s="77">
        <f>(('(A) Budget Summary'!E41+'(A) Budget Summary'!F41)/('(A) Budget Summary'!$E$33+'(A) Budget Summary'!$F$33))*-2217000</f>
        <v>0</v>
      </c>
      <c r="N40" s="77"/>
      <c r="O40" s="77"/>
      <c r="P40" s="77"/>
      <c r="Q40" s="77"/>
      <c r="R40" s="213">
        <f t="shared" si="4"/>
        <v>189775000</v>
      </c>
      <c r="S40" s="77"/>
      <c r="T40" s="213">
        <f t="shared" si="5"/>
        <v>189775000</v>
      </c>
      <c r="V40" s="233"/>
      <c r="W40" s="236">
        <v>0</v>
      </c>
      <c r="X40" s="237">
        <v>0</v>
      </c>
      <c r="Y40" s="237">
        <v>0</v>
      </c>
      <c r="Z40" s="237"/>
      <c r="AA40" s="238">
        <f t="shared" si="6"/>
        <v>0</v>
      </c>
    </row>
    <row r="41" spans="1:27" s="9" customFormat="1" ht="9" customHeight="1">
      <c r="A41" s="75"/>
      <c r="B41" s="213"/>
      <c r="C41" s="80"/>
      <c r="D41" s="80"/>
      <c r="E41" s="80"/>
      <c r="F41" s="80"/>
      <c r="G41" s="80"/>
      <c r="H41" s="213"/>
      <c r="I41" s="80"/>
      <c r="J41" s="77"/>
      <c r="K41" s="77"/>
      <c r="L41" s="77"/>
      <c r="M41" s="77"/>
      <c r="N41" s="77"/>
      <c r="O41" s="77"/>
      <c r="P41" s="77"/>
      <c r="Q41" s="77"/>
      <c r="R41" s="213"/>
      <c r="S41" s="77"/>
      <c r="T41" s="213"/>
      <c r="V41" s="233"/>
      <c r="W41" s="246"/>
      <c r="X41" s="247"/>
      <c r="Y41" s="247"/>
      <c r="Z41" s="247"/>
      <c r="AA41" s="248"/>
    </row>
    <row r="42" spans="1:27" s="13" customFormat="1" ht="15" customHeight="1" thickBot="1">
      <c r="A42" s="222" t="s">
        <v>27</v>
      </c>
      <c r="B42" s="223">
        <f>SUM(B32:B38)</f>
        <v>2141273000.1599998</v>
      </c>
      <c r="C42" s="224"/>
      <c r="D42" s="224">
        <f>SUM(D32:D38)</f>
        <v>-100000000</v>
      </c>
      <c r="E42" s="224"/>
      <c r="F42" s="224">
        <f>SUM(F32:F38)</f>
        <v>-38521063</v>
      </c>
      <c r="G42" s="224"/>
      <c r="H42" s="223">
        <f>SUM(H32:H38)</f>
        <v>2002751937.1599998</v>
      </c>
      <c r="I42" s="224"/>
      <c r="J42" s="224">
        <f>SUM(J32:J40)</f>
        <v>196366000</v>
      </c>
      <c r="K42" s="224"/>
      <c r="L42" s="224"/>
      <c r="M42" s="224">
        <f>SUM(M32:M38)</f>
        <v>1310000</v>
      </c>
      <c r="N42" s="224"/>
      <c r="O42" s="224" t="e">
        <f>O32+O34+O35+O36+O37+O38</f>
        <v>#REF!</v>
      </c>
      <c r="P42" s="224"/>
      <c r="Q42" s="224"/>
      <c r="R42" s="223">
        <f>SUM(R32:R40)</f>
        <v>59154937</v>
      </c>
      <c r="S42" s="224"/>
      <c r="T42" s="223">
        <f>SUM(T32:T40)</f>
        <v>2200427937.16</v>
      </c>
      <c r="V42" s="242"/>
      <c r="W42" s="252">
        <f>SUM(W32:W40)</f>
        <v>15086000</v>
      </c>
      <c r="X42" s="252">
        <f>SUM(X32:X40)</f>
        <v>4600000</v>
      </c>
      <c r="Y42" s="252">
        <f>SUM(Y32:Y40)</f>
        <v>2754000</v>
      </c>
      <c r="Z42" s="252"/>
      <c r="AA42" s="329">
        <f>SUM(AA32:AA40)</f>
        <v>22440000</v>
      </c>
    </row>
    <row r="43" spans="17:27" ht="12.75">
      <c r="Q43" s="81"/>
      <c r="R43" s="81"/>
      <c r="S43" s="81"/>
      <c r="T43" s="81"/>
      <c r="U43" s="81"/>
      <c r="V43" s="253"/>
      <c r="W43" s="254"/>
      <c r="X43" s="254"/>
      <c r="Y43" s="254"/>
      <c r="Z43" s="237"/>
      <c r="AA43" s="255"/>
    </row>
    <row r="44" spans="1:27" s="99" customFormat="1" ht="30" customHeight="1">
      <c r="A44" s="425" t="s">
        <v>157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W44" s="422" t="s">
        <v>133</v>
      </c>
      <c r="X44" s="422"/>
      <c r="Y44" s="422"/>
      <c r="Z44" s="422"/>
      <c r="AA44" s="422"/>
    </row>
    <row r="45" spans="1:27" s="99" customFormat="1" ht="15" customHeight="1">
      <c r="A45" s="423" t="s">
        <v>189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101"/>
      <c r="W45" s="422" t="s">
        <v>134</v>
      </c>
      <c r="X45" s="422"/>
      <c r="Y45" s="422"/>
      <c r="Z45" s="422"/>
      <c r="AA45" s="422"/>
    </row>
    <row r="46" spans="1:21" s="99" customFormat="1" ht="15" customHeight="1">
      <c r="A46" s="423" t="s">
        <v>136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101"/>
    </row>
    <row r="47" spans="1:27" ht="12.75" customHeight="1">
      <c r="A47" s="426" t="s">
        <v>188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2"/>
      <c r="W47" s="422"/>
      <c r="X47" s="422"/>
      <c r="Y47" s="422"/>
      <c r="Z47" s="179"/>
      <c r="AA47" s="179"/>
    </row>
  </sheetData>
  <sheetProtection/>
  <mergeCells count="9">
    <mergeCell ref="W4:Y4"/>
    <mergeCell ref="V47:Y47"/>
    <mergeCell ref="A45:T45"/>
    <mergeCell ref="A46:T46"/>
    <mergeCell ref="L5:N5"/>
    <mergeCell ref="W45:AA45"/>
    <mergeCell ref="W44:AA44"/>
    <mergeCell ref="A44:U44"/>
    <mergeCell ref="A47:U47"/>
  </mergeCells>
  <printOptions/>
  <pageMargins left="0.5" right="0.25" top="0.25" bottom="0.25" header="0.5" footer="0.5"/>
  <pageSetup fitToHeight="1" fitToWidth="1" horizontalDpi="600" verticalDpi="600" orientation="landscape" paperSize="5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7" sqref="P37"/>
    </sheetView>
  </sheetViews>
  <sheetFormatPr defaultColWidth="10.83203125" defaultRowHeight="12.75"/>
  <cols>
    <col min="1" max="1" width="26.83203125" style="181" customWidth="1"/>
    <col min="2" max="2" width="15.83203125" style="181" customWidth="1"/>
    <col min="3" max="3" width="1.83203125" style="181" customWidth="1"/>
    <col min="4" max="4" width="14.5" style="181" customWidth="1"/>
    <col min="5" max="5" width="4.33203125" style="181" customWidth="1"/>
    <col min="6" max="6" width="14.5" style="181" customWidth="1"/>
    <col min="7" max="7" width="1.83203125" style="181" customWidth="1"/>
    <col min="8" max="8" width="15.83203125" style="181" customWidth="1"/>
    <col min="9" max="9" width="4" style="181" customWidth="1"/>
    <col min="10" max="10" width="15.83203125" style="181" customWidth="1"/>
    <col min="11" max="11" width="1.83203125" style="181" customWidth="1"/>
    <col min="12" max="12" width="16.83203125" style="181" customWidth="1"/>
    <col min="13" max="13" width="1.83203125" style="181" customWidth="1"/>
    <col min="14" max="14" width="14.83203125" style="181" customWidth="1"/>
    <col min="15" max="15" width="2.33203125" style="181" customWidth="1"/>
    <col min="16" max="16" width="16.83203125" style="181" customWidth="1"/>
    <col min="17" max="17" width="1.83203125" style="181" customWidth="1"/>
    <col min="18" max="18" width="2.83203125" style="183" customWidth="1"/>
    <col min="19" max="19" width="9.16015625" style="181" bestFit="1" customWidth="1"/>
    <col min="20" max="20" width="2.83203125" style="181" customWidth="1"/>
    <col min="21" max="21" width="2.33203125" style="181" customWidth="1"/>
    <col min="22" max="22" width="15.33203125" style="181" bestFit="1" customWidth="1"/>
    <col min="23" max="23" width="4.33203125" style="181" customWidth="1"/>
    <col min="24" max="24" width="15.33203125" style="181" customWidth="1"/>
    <col min="25" max="25" width="4.83203125" style="181" customWidth="1"/>
    <col min="26" max="26" width="16.83203125" style="184" customWidth="1"/>
    <col min="27" max="27" width="23.33203125" style="184" bestFit="1" customWidth="1"/>
    <col min="28" max="28" width="14.83203125" style="181" customWidth="1"/>
    <col min="29" max="29" width="14.66015625" style="181" customWidth="1"/>
    <col min="30" max="30" width="2" style="181" customWidth="1"/>
    <col min="31" max="31" width="17.5" style="181" customWidth="1"/>
    <col min="32" max="16384" width="10.83203125" style="181" customWidth="1"/>
  </cols>
  <sheetData>
    <row r="1" spans="1:25" ht="16.5">
      <c r="A1" s="180" t="s">
        <v>125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V1" s="182"/>
      <c r="W1" s="182"/>
      <c r="X1" s="182"/>
      <c r="Y1" s="183"/>
    </row>
    <row r="2" spans="19:30" ht="7.5" customHeight="1">
      <c r="S2" s="186"/>
      <c r="T2" s="186"/>
      <c r="U2" s="186"/>
      <c r="V2" s="183"/>
      <c r="W2" s="183"/>
      <c r="X2" s="183"/>
      <c r="Y2" s="183"/>
      <c r="AB2" s="187"/>
      <c r="AC2" s="187"/>
      <c r="AD2" s="187"/>
    </row>
    <row r="3" spans="2:27" s="188" customFormat="1" ht="15.75" customHeight="1">
      <c r="B3" s="188">
        <v>-1</v>
      </c>
      <c r="D3" s="114" t="s">
        <v>158</v>
      </c>
      <c r="E3" s="17"/>
      <c r="F3" s="114" t="s">
        <v>161</v>
      </c>
      <c r="H3" s="188">
        <v>-4</v>
      </c>
      <c r="J3" s="189">
        <v>-5</v>
      </c>
      <c r="K3" s="189"/>
      <c r="L3" s="189">
        <v>-6</v>
      </c>
      <c r="M3" s="190"/>
      <c r="N3" s="188">
        <v>-7</v>
      </c>
      <c r="O3" s="190"/>
      <c r="P3" s="188">
        <v>-8</v>
      </c>
      <c r="R3" s="189"/>
      <c r="S3" s="190">
        <v>-9</v>
      </c>
      <c r="V3" s="189">
        <v>-10</v>
      </c>
      <c r="W3" s="189"/>
      <c r="X3" s="114">
        <v>-11</v>
      </c>
      <c r="Y3" s="189"/>
      <c r="Z3" s="394">
        <v>-12</v>
      </c>
      <c r="AA3" s="191"/>
    </row>
    <row r="4" spans="1:27" ht="16.5" thickBot="1">
      <c r="A4" s="192"/>
      <c r="B4" s="192"/>
      <c r="C4" s="192"/>
      <c r="D4" s="429" t="s">
        <v>154</v>
      </c>
      <c r="E4" s="429"/>
      <c r="F4" s="429"/>
      <c r="G4" s="192"/>
      <c r="H4" s="192"/>
      <c r="I4" s="192"/>
      <c r="J4" s="430" t="s">
        <v>153</v>
      </c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189"/>
      <c r="X4" s="187"/>
      <c r="Y4" s="187"/>
      <c r="Z4" s="187"/>
      <c r="AA4" s="187"/>
    </row>
    <row r="5" spans="2:27" s="257" customFormat="1" ht="79.5">
      <c r="B5" s="379" t="s">
        <v>160</v>
      </c>
      <c r="D5" s="260" t="s">
        <v>70</v>
      </c>
      <c r="E5" s="260"/>
      <c r="F5" s="260" t="s">
        <v>159</v>
      </c>
      <c r="H5" s="379" t="s">
        <v>163</v>
      </c>
      <c r="I5" s="379"/>
      <c r="J5" s="350" t="s">
        <v>149</v>
      </c>
      <c r="K5" s="351"/>
      <c r="L5" s="362" t="s">
        <v>164</v>
      </c>
      <c r="M5" s="351"/>
      <c r="N5" s="352" t="s">
        <v>166</v>
      </c>
      <c r="O5" s="352"/>
      <c r="P5" s="352" t="s">
        <v>181</v>
      </c>
      <c r="Q5" s="352"/>
      <c r="R5" s="428" t="s">
        <v>171</v>
      </c>
      <c r="S5" s="428"/>
      <c r="T5" s="428"/>
      <c r="U5" s="354"/>
      <c r="V5" s="353" t="s">
        <v>153</v>
      </c>
      <c r="W5" s="386"/>
      <c r="X5" s="259" t="s">
        <v>174</v>
      </c>
      <c r="Y5" s="261"/>
      <c r="Z5" s="259" t="s">
        <v>173</v>
      </c>
      <c r="AA5" s="262"/>
    </row>
    <row r="6" spans="2:27" s="194" customFormat="1" ht="22.5" customHeight="1">
      <c r="B6" s="380" t="s">
        <v>152</v>
      </c>
      <c r="D6" s="5" t="s">
        <v>140</v>
      </c>
      <c r="E6" s="162"/>
      <c r="F6" s="5" t="s">
        <v>135</v>
      </c>
      <c r="H6" s="174" t="s">
        <v>162</v>
      </c>
      <c r="J6" s="400" t="s">
        <v>150</v>
      </c>
      <c r="K6" s="334"/>
      <c r="L6" s="206" t="s">
        <v>165</v>
      </c>
      <c r="M6" s="334"/>
      <c r="N6" s="206" t="s">
        <v>131</v>
      </c>
      <c r="O6" s="206"/>
      <c r="P6" s="363" t="s">
        <v>167</v>
      </c>
      <c r="Q6" s="206"/>
      <c r="R6" s="427"/>
      <c r="S6" s="427"/>
      <c r="T6" s="427"/>
      <c r="U6" s="206"/>
      <c r="V6" s="401" t="s">
        <v>172</v>
      </c>
      <c r="W6" s="387"/>
      <c r="X6" s="376" t="s">
        <v>175</v>
      </c>
      <c r="Y6" s="195"/>
      <c r="Z6" s="376" t="s">
        <v>176</v>
      </c>
      <c r="AA6" s="207"/>
    </row>
    <row r="7" spans="1:27" ht="9" customHeight="1">
      <c r="A7" s="192"/>
      <c r="B7" s="381"/>
      <c r="C7" s="192"/>
      <c r="D7" s="113"/>
      <c r="E7" s="113"/>
      <c r="F7" s="113"/>
      <c r="G7" s="192"/>
      <c r="H7" s="192"/>
      <c r="I7" s="192"/>
      <c r="J7" s="335"/>
      <c r="K7" s="336"/>
      <c r="L7" s="336"/>
      <c r="M7" s="336"/>
      <c r="N7" s="337"/>
      <c r="O7" s="337"/>
      <c r="P7" s="337"/>
      <c r="Q7" s="337"/>
      <c r="R7" s="337"/>
      <c r="S7" s="337"/>
      <c r="T7" s="337"/>
      <c r="U7" s="337"/>
      <c r="V7" s="330"/>
      <c r="W7" s="388"/>
      <c r="X7" s="197"/>
      <c r="Y7" s="196"/>
      <c r="Z7" s="197"/>
      <c r="AA7" s="196"/>
    </row>
    <row r="8" spans="1:27" s="198" customFormat="1" ht="12.75" customHeight="1">
      <c r="A8" s="225" t="s">
        <v>0</v>
      </c>
      <c r="B8" s="382">
        <f>'(B) Base Bud Adj'!T8</f>
        <v>46376509</v>
      </c>
      <c r="C8" s="225"/>
      <c r="D8" s="212">
        <f>'(D) Tuition Revenue'!T8</f>
        <v>-1304000</v>
      </c>
      <c r="E8" s="212"/>
      <c r="F8" s="212">
        <f>'(E) SUG '!L8</f>
        <v>2206300</v>
      </c>
      <c r="G8" s="225"/>
      <c r="H8" s="225">
        <f>B8+D8+F8</f>
        <v>47278809</v>
      </c>
      <c r="I8" s="225"/>
      <c r="J8" s="338">
        <f>'(A) Budget Summary'!S9+'(A) Budget Summary'!T9</f>
        <v>46850004</v>
      </c>
      <c r="K8" s="339"/>
      <c r="L8" s="339">
        <f>H8+J8</f>
        <v>94128813</v>
      </c>
      <c r="M8" s="339"/>
      <c r="N8" s="340">
        <f>'(E) SUG '!I8</f>
        <v>18023600</v>
      </c>
      <c r="O8" s="340"/>
      <c r="P8" s="340">
        <f>L8-N8</f>
        <v>76105213</v>
      </c>
      <c r="Q8" s="340"/>
      <c r="R8" s="340"/>
      <c r="S8" s="355">
        <f>-ROUND(P8/$P$32,6)</f>
        <v>-0.020595</v>
      </c>
      <c r="T8" s="356"/>
      <c r="U8" s="356"/>
      <c r="V8" s="331">
        <f>ROUND(S8*200000000/100,0)*100</f>
        <v>-4119000</v>
      </c>
      <c r="W8" s="389"/>
      <c r="X8" s="227">
        <f>D8+F8+V8</f>
        <v>-3216700</v>
      </c>
      <c r="Y8" s="226"/>
      <c r="Z8" s="227">
        <f>B8+X8</f>
        <v>43159809</v>
      </c>
      <c r="AA8" s="395"/>
    </row>
    <row r="9" spans="1:27" ht="12.75" customHeight="1">
      <c r="A9" s="232" t="s">
        <v>1</v>
      </c>
      <c r="B9" s="244">
        <f>'(B) Base Bud Adj'!T9</f>
        <v>43900810</v>
      </c>
      <c r="C9" s="232"/>
      <c r="D9" s="216">
        <f>'(D) Tuition Revenue'!T9</f>
        <v>-605000</v>
      </c>
      <c r="E9" s="216"/>
      <c r="F9" s="216">
        <f>'(E) SUG '!L9</f>
        <v>489500</v>
      </c>
      <c r="G9" s="232"/>
      <c r="H9" s="232">
        <f>B9+D9+F9</f>
        <v>43785310</v>
      </c>
      <c r="I9" s="232"/>
      <c r="J9" s="341">
        <f>'(A) Budget Summary'!S10+'(A) Budget Summary'!T10</f>
        <v>22811190</v>
      </c>
      <c r="K9" s="342"/>
      <c r="L9" s="342">
        <f>H9+J9</f>
        <v>66596500</v>
      </c>
      <c r="M9" s="342"/>
      <c r="N9" s="343">
        <f>'(E) SUG '!I9</f>
        <v>6705200</v>
      </c>
      <c r="O9" s="343"/>
      <c r="P9" s="343">
        <f>L9-N9</f>
        <v>59891300</v>
      </c>
      <c r="Q9" s="343"/>
      <c r="R9" s="343"/>
      <c r="S9" s="355">
        <f>-ROUND(P9/$P$32,6)</f>
        <v>-0.016208</v>
      </c>
      <c r="T9" s="357"/>
      <c r="U9" s="357"/>
      <c r="V9" s="332">
        <f>ROUND(S9*200000000/100,0)*100</f>
        <v>-3241600</v>
      </c>
      <c r="W9" s="390"/>
      <c r="X9" s="234">
        <f>D9+F9+V9</f>
        <v>-3357100</v>
      </c>
      <c r="Y9" s="233"/>
      <c r="Z9" s="234">
        <f>B9+X9</f>
        <v>40543710</v>
      </c>
      <c r="AA9" s="395"/>
    </row>
    <row r="10" spans="1:27" ht="12.75" customHeight="1">
      <c r="A10" s="232" t="s">
        <v>2</v>
      </c>
      <c r="B10" s="244">
        <f>'(B) Base Bud Adj'!T10</f>
        <v>76668632</v>
      </c>
      <c r="C10" s="232"/>
      <c r="D10" s="216">
        <f>'(D) Tuition Revenue'!T10</f>
        <v>-2528000</v>
      </c>
      <c r="E10" s="216"/>
      <c r="F10" s="216">
        <f>'(E) SUG '!L10</f>
        <v>2217800</v>
      </c>
      <c r="G10" s="232"/>
      <c r="H10" s="232">
        <f aca="true" t="shared" si="0" ref="H10:H30">B10+D10+F10</f>
        <v>76358432</v>
      </c>
      <c r="I10" s="232"/>
      <c r="J10" s="341">
        <f>'(A) Budget Summary'!S11+'(A) Budget Summary'!T11</f>
        <v>99322000</v>
      </c>
      <c r="K10" s="342"/>
      <c r="L10" s="342">
        <f aca="true" t="shared" si="1" ref="L10:L30">H10+J10</f>
        <v>175680432</v>
      </c>
      <c r="M10" s="342"/>
      <c r="N10" s="343">
        <f>'(E) SUG '!I10</f>
        <v>24896600</v>
      </c>
      <c r="O10" s="343"/>
      <c r="P10" s="343">
        <f aca="true" t="shared" si="2" ref="P10:P30">L10-N10</f>
        <v>150783832</v>
      </c>
      <c r="Q10" s="343"/>
      <c r="R10" s="343"/>
      <c r="S10" s="355">
        <f>-ROUND(P10/$P$32,6)+0.000001</f>
        <v>-0.040804</v>
      </c>
      <c r="T10" s="357"/>
      <c r="U10" s="357"/>
      <c r="V10" s="332">
        <f aca="true" t="shared" si="3" ref="V10:V30">ROUND(S10*200000000/100,0)*100</f>
        <v>-8160800</v>
      </c>
      <c r="W10" s="390"/>
      <c r="X10" s="234">
        <f aca="true" t="shared" si="4" ref="X10:X30">D10+F10+V10</f>
        <v>-8471000</v>
      </c>
      <c r="Y10" s="233"/>
      <c r="Z10" s="234">
        <f aca="true" t="shared" si="5" ref="Z10:Z30">B10+X10</f>
        <v>68197632</v>
      </c>
      <c r="AA10" s="395"/>
    </row>
    <row r="11" spans="1:27" ht="12.75" customHeight="1">
      <c r="A11" s="232" t="s">
        <v>3</v>
      </c>
      <c r="B11" s="244">
        <f>'(B) Base Bud Adj'!T11</f>
        <v>56719852</v>
      </c>
      <c r="C11" s="232"/>
      <c r="D11" s="216">
        <f>'(D) Tuition Revenue'!T11</f>
        <v>-1954000</v>
      </c>
      <c r="E11" s="216"/>
      <c r="F11" s="216">
        <f>'(E) SUG '!L11</f>
        <v>2067200</v>
      </c>
      <c r="G11" s="232"/>
      <c r="H11" s="232">
        <f t="shared" si="0"/>
        <v>56833052</v>
      </c>
      <c r="I11" s="232"/>
      <c r="J11" s="341">
        <f>'(A) Budget Summary'!S12+'(A) Budget Summary'!T12</f>
        <v>69218742</v>
      </c>
      <c r="K11" s="342"/>
      <c r="L11" s="342">
        <f t="shared" si="1"/>
        <v>126051794</v>
      </c>
      <c r="M11" s="342"/>
      <c r="N11" s="343">
        <f>'(E) SUG '!I11</f>
        <v>30974200</v>
      </c>
      <c r="O11" s="343"/>
      <c r="P11" s="343">
        <f t="shared" si="2"/>
        <v>95077594</v>
      </c>
      <c r="Q11" s="343"/>
      <c r="R11" s="343"/>
      <c r="S11" s="355">
        <f>-ROUND(P11/$P$32,6)</f>
        <v>-0.02573</v>
      </c>
      <c r="T11" s="357"/>
      <c r="U11" s="357"/>
      <c r="V11" s="332">
        <f t="shared" si="3"/>
        <v>-5146000</v>
      </c>
      <c r="W11" s="390"/>
      <c r="X11" s="234">
        <f t="shared" si="4"/>
        <v>-5032800</v>
      </c>
      <c r="Y11" s="233"/>
      <c r="Z11" s="234">
        <f t="shared" si="5"/>
        <v>51687052</v>
      </c>
      <c r="AA11" s="395"/>
    </row>
    <row r="12" spans="1:27" ht="12.75" customHeight="1">
      <c r="A12" s="232" t="s">
        <v>28</v>
      </c>
      <c r="B12" s="244">
        <f>'(B) Base Bud Adj'!T12</f>
        <v>59733961</v>
      </c>
      <c r="C12" s="232"/>
      <c r="D12" s="216">
        <f>'(D) Tuition Revenue'!T12</f>
        <v>-2340000</v>
      </c>
      <c r="E12" s="216"/>
      <c r="F12" s="216">
        <f>'(E) SUG '!L12</f>
        <v>1425600</v>
      </c>
      <c r="G12" s="232"/>
      <c r="H12" s="232">
        <f t="shared" si="0"/>
        <v>58819561</v>
      </c>
      <c r="I12" s="232"/>
      <c r="J12" s="341">
        <f>'(A) Budget Summary'!S13+'(A) Budget Summary'!T13</f>
        <v>98871000</v>
      </c>
      <c r="K12" s="342"/>
      <c r="L12" s="342">
        <f t="shared" si="1"/>
        <v>157690561</v>
      </c>
      <c r="M12" s="342"/>
      <c r="N12" s="343">
        <f>'(E) SUG '!I12</f>
        <v>23351400</v>
      </c>
      <c r="O12" s="343"/>
      <c r="P12" s="343">
        <f t="shared" si="2"/>
        <v>134339161</v>
      </c>
      <c r="Q12" s="343"/>
      <c r="R12" s="343"/>
      <c r="S12" s="355">
        <f aca="true" t="shared" si="6" ref="S12:S30">-ROUND(P12/$P$32,6)</f>
        <v>-0.036355</v>
      </c>
      <c r="T12" s="357"/>
      <c r="U12" s="357"/>
      <c r="V12" s="332">
        <f t="shared" si="3"/>
        <v>-7271000</v>
      </c>
      <c r="W12" s="390"/>
      <c r="X12" s="234">
        <f t="shared" si="4"/>
        <v>-8185400</v>
      </c>
      <c r="Y12" s="233"/>
      <c r="Z12" s="234">
        <f t="shared" si="5"/>
        <v>51548561</v>
      </c>
      <c r="AA12" s="395"/>
    </row>
    <row r="13" spans="1:27" ht="12.75" customHeight="1">
      <c r="A13" s="232" t="s">
        <v>4</v>
      </c>
      <c r="B13" s="244">
        <f>'(B) Base Bud Adj'!T13</f>
        <v>100107432</v>
      </c>
      <c r="C13" s="232"/>
      <c r="D13" s="216">
        <f>'(D) Tuition Revenue'!T13</f>
        <v>-3268000</v>
      </c>
      <c r="E13" s="216"/>
      <c r="F13" s="216">
        <f>'(E) SUG '!L13</f>
        <v>4207000</v>
      </c>
      <c r="G13" s="232"/>
      <c r="H13" s="232">
        <f t="shared" si="0"/>
        <v>101046432</v>
      </c>
      <c r="I13" s="232"/>
      <c r="J13" s="341">
        <f>'(A) Budget Summary'!S14+'(A) Budget Summary'!T14</f>
        <v>127476384</v>
      </c>
      <c r="K13" s="342"/>
      <c r="L13" s="342">
        <f t="shared" si="1"/>
        <v>228522816</v>
      </c>
      <c r="M13" s="342"/>
      <c r="N13" s="343">
        <f>'(E) SUG '!I13</f>
        <v>39142700</v>
      </c>
      <c r="O13" s="343"/>
      <c r="P13" s="343">
        <f t="shared" si="2"/>
        <v>189380116</v>
      </c>
      <c r="Q13" s="343"/>
      <c r="R13" s="343"/>
      <c r="S13" s="355">
        <f t="shared" si="6"/>
        <v>-0.05125</v>
      </c>
      <c r="T13" s="357"/>
      <c r="U13" s="357"/>
      <c r="V13" s="332">
        <f t="shared" si="3"/>
        <v>-10250000</v>
      </c>
      <c r="W13" s="390"/>
      <c r="X13" s="234">
        <f t="shared" si="4"/>
        <v>-9311000</v>
      </c>
      <c r="Y13" s="233"/>
      <c r="Z13" s="234">
        <f t="shared" si="5"/>
        <v>90796432</v>
      </c>
      <c r="AA13" s="395"/>
    </row>
    <row r="14" spans="1:27" ht="12.75" customHeight="1">
      <c r="A14" s="232" t="s">
        <v>5</v>
      </c>
      <c r="B14" s="244">
        <f>'(B) Base Bud Adj'!T14</f>
        <v>107607561</v>
      </c>
      <c r="C14" s="232"/>
      <c r="D14" s="216">
        <f>'(D) Tuition Revenue'!T14</f>
        <v>-5494000</v>
      </c>
      <c r="E14" s="216"/>
      <c r="F14" s="216">
        <f>'(E) SUG '!L14</f>
        <v>5497000</v>
      </c>
      <c r="G14" s="232"/>
      <c r="H14" s="232">
        <f t="shared" si="0"/>
        <v>107610561</v>
      </c>
      <c r="I14" s="232"/>
      <c r="J14" s="341">
        <f>'(A) Budget Summary'!S15+'(A) Budget Summary'!T15</f>
        <v>219881997</v>
      </c>
      <c r="K14" s="342"/>
      <c r="L14" s="342">
        <f t="shared" si="1"/>
        <v>327492558</v>
      </c>
      <c r="M14" s="342"/>
      <c r="N14" s="343">
        <f>'(E) SUG '!I14</f>
        <v>50497900</v>
      </c>
      <c r="O14" s="343"/>
      <c r="P14" s="343">
        <f t="shared" si="2"/>
        <v>276994658</v>
      </c>
      <c r="Q14" s="343"/>
      <c r="R14" s="343"/>
      <c r="S14" s="355">
        <f t="shared" si="6"/>
        <v>-0.07496</v>
      </c>
      <c r="T14" s="357"/>
      <c r="U14" s="357"/>
      <c r="V14" s="332">
        <f>ROUND(S14*200000000/100,0)*100</f>
        <v>-14992000</v>
      </c>
      <c r="W14" s="390"/>
      <c r="X14" s="234">
        <f t="shared" si="4"/>
        <v>-14989000</v>
      </c>
      <c r="Y14" s="233"/>
      <c r="Z14" s="234">
        <f t="shared" si="5"/>
        <v>92618561</v>
      </c>
      <c r="AA14" s="395"/>
    </row>
    <row r="15" spans="1:27" ht="12.75" customHeight="1">
      <c r="A15" s="232" t="s">
        <v>6</v>
      </c>
      <c r="B15" s="244">
        <f>'(B) Base Bud Adj'!T15</f>
        <v>56556610</v>
      </c>
      <c r="C15" s="232"/>
      <c r="D15" s="216">
        <f>'(D) Tuition Revenue'!T15</f>
        <v>-1227000</v>
      </c>
      <c r="E15" s="216"/>
      <c r="F15" s="216">
        <f>'(E) SUG '!L15</f>
        <v>515900</v>
      </c>
      <c r="G15" s="232"/>
      <c r="H15" s="232">
        <f t="shared" si="0"/>
        <v>55845510</v>
      </c>
      <c r="I15" s="232"/>
      <c r="J15" s="341">
        <f>'(A) Budget Summary'!S16+'(A) Budget Summary'!T16</f>
        <v>53785991</v>
      </c>
      <c r="K15" s="342"/>
      <c r="L15" s="342">
        <f t="shared" si="1"/>
        <v>109631501</v>
      </c>
      <c r="M15" s="342"/>
      <c r="N15" s="343">
        <f>'(E) SUG '!I15</f>
        <v>15547800</v>
      </c>
      <c r="O15" s="343"/>
      <c r="P15" s="343">
        <f t="shared" si="2"/>
        <v>94083701</v>
      </c>
      <c r="Q15" s="343"/>
      <c r="R15" s="343"/>
      <c r="S15" s="355">
        <f t="shared" si="6"/>
        <v>-0.025461</v>
      </c>
      <c r="T15" s="357"/>
      <c r="U15" s="357"/>
      <c r="V15" s="332">
        <f t="shared" si="3"/>
        <v>-5092200</v>
      </c>
      <c r="W15" s="390"/>
      <c r="X15" s="234">
        <f t="shared" si="4"/>
        <v>-5803300</v>
      </c>
      <c r="Y15" s="233"/>
      <c r="Z15" s="234">
        <f t="shared" si="5"/>
        <v>50753310</v>
      </c>
      <c r="AA15" s="395"/>
    </row>
    <row r="16" spans="1:27" ht="12.75" customHeight="1">
      <c r="A16" s="232" t="s">
        <v>7</v>
      </c>
      <c r="B16" s="244">
        <f>'(B) Base Bud Adj'!T16</f>
        <v>122542136.16</v>
      </c>
      <c r="C16" s="232"/>
      <c r="D16" s="216">
        <f>'(D) Tuition Revenue'!T16</f>
        <v>-5409000</v>
      </c>
      <c r="E16" s="216"/>
      <c r="F16" s="216">
        <f>'(E) SUG '!L16</f>
        <v>4534100</v>
      </c>
      <c r="G16" s="232"/>
      <c r="H16" s="232">
        <f t="shared" si="0"/>
        <v>121667236.16</v>
      </c>
      <c r="I16" s="232"/>
      <c r="J16" s="341">
        <f>'(A) Budget Summary'!S17+'(A) Budget Summary'!T17</f>
        <v>221799500</v>
      </c>
      <c r="K16" s="342"/>
      <c r="L16" s="342">
        <f t="shared" si="1"/>
        <v>343466736.15999997</v>
      </c>
      <c r="M16" s="342"/>
      <c r="N16" s="343">
        <f>'(E) SUG '!I16</f>
        <v>55039900</v>
      </c>
      <c r="O16" s="343"/>
      <c r="P16" s="343">
        <f t="shared" si="2"/>
        <v>288426836.15999997</v>
      </c>
      <c r="Q16" s="343"/>
      <c r="R16" s="343"/>
      <c r="S16" s="355">
        <f>-ROUND(P16/$P$32,6)</f>
        <v>-0.078054</v>
      </c>
      <c r="T16" s="357"/>
      <c r="U16" s="357"/>
      <c r="V16" s="332">
        <f t="shared" si="3"/>
        <v>-15610800</v>
      </c>
      <c r="W16" s="390"/>
      <c r="X16" s="234">
        <f t="shared" si="4"/>
        <v>-16485700</v>
      </c>
      <c r="Y16" s="233"/>
      <c r="Z16" s="234">
        <f t="shared" si="5"/>
        <v>106056436.16</v>
      </c>
      <c r="AA16" s="395"/>
    </row>
    <row r="17" spans="1:27" ht="12.75" customHeight="1">
      <c r="A17" s="232" t="s">
        <v>8</v>
      </c>
      <c r="B17" s="244">
        <f>'(B) Base Bud Adj'!T17</f>
        <v>91419639</v>
      </c>
      <c r="C17" s="232"/>
      <c r="D17" s="216">
        <f>'(D) Tuition Revenue'!T17</f>
        <v>-3396000</v>
      </c>
      <c r="E17" s="216"/>
      <c r="F17" s="216">
        <f>'(E) SUG '!L17</f>
        <v>3615100</v>
      </c>
      <c r="G17" s="232"/>
      <c r="H17" s="232">
        <f t="shared" si="0"/>
        <v>91638739</v>
      </c>
      <c r="I17" s="232"/>
      <c r="J17" s="341">
        <f>'(A) Budget Summary'!S18+'(A) Budget Summary'!T18</f>
        <v>128113760</v>
      </c>
      <c r="K17" s="342"/>
      <c r="L17" s="342">
        <f t="shared" si="1"/>
        <v>219752499</v>
      </c>
      <c r="M17" s="342"/>
      <c r="N17" s="343">
        <f>'(E) SUG '!I17</f>
        <v>45948500</v>
      </c>
      <c r="O17" s="343"/>
      <c r="P17" s="343">
        <f t="shared" si="2"/>
        <v>173803999</v>
      </c>
      <c r="Q17" s="343"/>
      <c r="R17" s="343"/>
      <c r="S17" s="355">
        <f>-ROUND(P17/$P$32,6)+0.000001</f>
        <v>-0.047034</v>
      </c>
      <c r="T17" s="357"/>
      <c r="U17" s="357"/>
      <c r="V17" s="332">
        <f t="shared" si="3"/>
        <v>-9406800</v>
      </c>
      <c r="W17" s="390"/>
      <c r="X17" s="234">
        <f t="shared" si="4"/>
        <v>-9187700</v>
      </c>
      <c r="Y17" s="233"/>
      <c r="Z17" s="234">
        <f t="shared" si="5"/>
        <v>82231939</v>
      </c>
      <c r="AA17" s="395"/>
    </row>
    <row r="18" spans="1:27" ht="12.75" customHeight="1">
      <c r="A18" s="232" t="s">
        <v>9</v>
      </c>
      <c r="B18" s="244">
        <f>'(B) Base Bud Adj'!T18</f>
        <v>21026171</v>
      </c>
      <c r="C18" s="232"/>
      <c r="D18" s="216">
        <f>'(D) Tuition Revenue'!T18</f>
        <v>-132000</v>
      </c>
      <c r="E18" s="216"/>
      <c r="F18" s="216">
        <f>'(E) SUG '!L18</f>
        <v>176400</v>
      </c>
      <c r="G18" s="232"/>
      <c r="H18" s="232">
        <f t="shared" si="0"/>
        <v>21070571</v>
      </c>
      <c r="I18" s="232"/>
      <c r="J18" s="341">
        <f>'(A) Budget Summary'!S19+'(A) Budget Summary'!T19</f>
        <v>6924982</v>
      </c>
      <c r="K18" s="342"/>
      <c r="L18" s="342">
        <f t="shared" si="1"/>
        <v>27995553</v>
      </c>
      <c r="M18" s="342"/>
      <c r="N18" s="343">
        <f>'(E) SUG '!I18</f>
        <v>1815300</v>
      </c>
      <c r="O18" s="343"/>
      <c r="P18" s="343">
        <f t="shared" si="2"/>
        <v>26180253</v>
      </c>
      <c r="Q18" s="343"/>
      <c r="R18" s="343"/>
      <c r="S18" s="355">
        <f>-ROUND(P18/$P$32,6)+0.000001</f>
        <v>-0.007084</v>
      </c>
      <c r="T18" s="357"/>
      <c r="U18" s="357"/>
      <c r="V18" s="332">
        <f>ROUND(S18*200000000/100,0)*100</f>
        <v>-1416800</v>
      </c>
      <c r="W18" s="390"/>
      <c r="X18" s="234">
        <f t="shared" si="4"/>
        <v>-1372400</v>
      </c>
      <c r="Y18" s="233"/>
      <c r="Z18" s="234">
        <f t="shared" si="5"/>
        <v>19653771</v>
      </c>
      <c r="AA18" s="395"/>
    </row>
    <row r="19" spans="1:27" ht="12.75" customHeight="1">
      <c r="A19" s="232" t="s">
        <v>10</v>
      </c>
      <c r="B19" s="244">
        <f>'(B) Base Bud Adj'!T19</f>
        <v>49246283</v>
      </c>
      <c r="C19" s="232"/>
      <c r="D19" s="216">
        <f>'(D) Tuition Revenue'!T19</f>
        <v>-737000</v>
      </c>
      <c r="E19" s="216"/>
      <c r="F19" s="216">
        <f>'(E) SUG '!L19</f>
        <v>669900</v>
      </c>
      <c r="G19" s="232"/>
      <c r="H19" s="232">
        <f t="shared" si="0"/>
        <v>49179183</v>
      </c>
      <c r="I19" s="232"/>
      <c r="J19" s="341">
        <f>'(A) Budget Summary'!S20+'(A) Budget Summary'!T20</f>
        <v>28044466</v>
      </c>
      <c r="K19" s="342"/>
      <c r="L19" s="342">
        <f t="shared" si="1"/>
        <v>77223649</v>
      </c>
      <c r="M19" s="342"/>
      <c r="N19" s="343">
        <f>'(E) SUG '!I19</f>
        <v>9645600</v>
      </c>
      <c r="O19" s="343"/>
      <c r="P19" s="343">
        <f t="shared" si="2"/>
        <v>67578049</v>
      </c>
      <c r="Q19" s="343"/>
      <c r="R19" s="343"/>
      <c r="S19" s="355">
        <f>-ROUND(P19/$P$32,6)</f>
        <v>-0.018288</v>
      </c>
      <c r="T19" s="357"/>
      <c r="U19" s="357"/>
      <c r="V19" s="332">
        <f t="shared" si="3"/>
        <v>-3657600</v>
      </c>
      <c r="W19" s="390"/>
      <c r="X19" s="234">
        <f t="shared" si="4"/>
        <v>-3724700</v>
      </c>
      <c r="Y19" s="233"/>
      <c r="Z19" s="234">
        <f t="shared" si="5"/>
        <v>45521583</v>
      </c>
      <c r="AA19" s="395"/>
    </row>
    <row r="20" spans="1:27" ht="12.75" customHeight="1">
      <c r="A20" s="232" t="s">
        <v>11</v>
      </c>
      <c r="B20" s="244">
        <f>'(B) Base Bud Adj'!T20</f>
        <v>122379896</v>
      </c>
      <c r="C20" s="232"/>
      <c r="D20" s="216">
        <f>'(D) Tuition Revenue'!T20</f>
        <v>-5350000</v>
      </c>
      <c r="E20" s="216"/>
      <c r="F20" s="216">
        <f>'(E) SUG '!L20</f>
        <v>6144000</v>
      </c>
      <c r="G20" s="232"/>
      <c r="H20" s="232">
        <f t="shared" si="0"/>
        <v>123173896</v>
      </c>
      <c r="I20" s="232"/>
      <c r="J20" s="341">
        <f>'(A) Budget Summary'!S21+'(A) Budget Summary'!T21</f>
        <v>225386784</v>
      </c>
      <c r="K20" s="342"/>
      <c r="L20" s="342">
        <f t="shared" si="1"/>
        <v>348560680</v>
      </c>
      <c r="M20" s="342"/>
      <c r="N20" s="343">
        <f>'(E) SUG '!I20</f>
        <v>59047000</v>
      </c>
      <c r="O20" s="343"/>
      <c r="P20" s="343">
        <f t="shared" si="2"/>
        <v>289513680</v>
      </c>
      <c r="Q20" s="343"/>
      <c r="R20" s="343"/>
      <c r="S20" s="355">
        <f t="shared" si="6"/>
        <v>-0.078348</v>
      </c>
      <c r="T20" s="357"/>
      <c r="U20" s="357"/>
      <c r="V20" s="332">
        <f t="shared" si="3"/>
        <v>-15669600</v>
      </c>
      <c r="W20" s="390"/>
      <c r="X20" s="234">
        <f t="shared" si="4"/>
        <v>-14875600</v>
      </c>
      <c r="Y20" s="233"/>
      <c r="Z20" s="234">
        <f t="shared" si="5"/>
        <v>107504296</v>
      </c>
      <c r="AA20" s="395"/>
    </row>
    <row r="21" spans="1:27" ht="12.75" customHeight="1">
      <c r="A21" s="232" t="s">
        <v>12</v>
      </c>
      <c r="B21" s="244">
        <f>'(B) Base Bud Adj'!T21</f>
        <v>90984042</v>
      </c>
      <c r="C21" s="232"/>
      <c r="D21" s="216">
        <f>'(D) Tuition Revenue'!T21</f>
        <v>-3300000</v>
      </c>
      <c r="E21" s="216"/>
      <c r="F21" s="216">
        <f>'(E) SUG '!L21</f>
        <v>2410200</v>
      </c>
      <c r="G21" s="232"/>
      <c r="H21" s="232">
        <f t="shared" si="0"/>
        <v>90094242</v>
      </c>
      <c r="I21" s="232"/>
      <c r="J21" s="341">
        <f>'(A) Budget Summary'!S22+'(A) Budget Summary'!T22</f>
        <v>117974000</v>
      </c>
      <c r="K21" s="342"/>
      <c r="L21" s="342">
        <f t="shared" si="1"/>
        <v>208068242</v>
      </c>
      <c r="M21" s="342"/>
      <c r="N21" s="343">
        <f>'(E) SUG '!I21</f>
        <v>33609000</v>
      </c>
      <c r="O21" s="343"/>
      <c r="P21" s="343">
        <f t="shared" si="2"/>
        <v>174459242</v>
      </c>
      <c r="Q21" s="343"/>
      <c r="R21" s="343"/>
      <c r="S21" s="355">
        <f t="shared" si="6"/>
        <v>-0.047212</v>
      </c>
      <c r="T21" s="357"/>
      <c r="U21" s="357"/>
      <c r="V21" s="332">
        <f t="shared" si="3"/>
        <v>-9442400</v>
      </c>
      <c r="W21" s="390"/>
      <c r="X21" s="234">
        <f t="shared" si="4"/>
        <v>-10332200</v>
      </c>
      <c r="Y21" s="233"/>
      <c r="Z21" s="234">
        <f t="shared" si="5"/>
        <v>80651842</v>
      </c>
      <c r="AA21" s="395"/>
    </row>
    <row r="22" spans="1:27" ht="12.75" customHeight="1">
      <c r="A22" s="232" t="s">
        <v>13</v>
      </c>
      <c r="B22" s="244">
        <f>'(B) Base Bud Adj'!T22</f>
        <v>100702437</v>
      </c>
      <c r="C22" s="232"/>
      <c r="D22" s="216">
        <f>'(D) Tuition Revenue'!T22</f>
        <v>-4204000</v>
      </c>
      <c r="E22" s="216"/>
      <c r="F22" s="216">
        <f>'(E) SUG '!L22</f>
        <v>5437000</v>
      </c>
      <c r="G22" s="232"/>
      <c r="H22" s="232">
        <f t="shared" si="0"/>
        <v>101935437</v>
      </c>
      <c r="I22" s="232"/>
      <c r="J22" s="341">
        <f>'(A) Budget Summary'!S23+'(A) Budget Summary'!T23</f>
        <v>166619849</v>
      </c>
      <c r="K22" s="342"/>
      <c r="L22" s="342">
        <f t="shared" si="1"/>
        <v>268555286</v>
      </c>
      <c r="M22" s="342"/>
      <c r="N22" s="343">
        <f>'(E) SUG '!I22</f>
        <v>46725400</v>
      </c>
      <c r="O22" s="343"/>
      <c r="P22" s="343">
        <f t="shared" si="2"/>
        <v>221829886</v>
      </c>
      <c r="Q22" s="343"/>
      <c r="R22" s="343"/>
      <c r="S22" s="355">
        <f>-ROUND(P22/$P$32,6)</f>
        <v>-0.060031</v>
      </c>
      <c r="T22" s="357"/>
      <c r="U22" s="357"/>
      <c r="V22" s="332">
        <f>ROUND(S22*200000000/100,0)*100</f>
        <v>-12006200</v>
      </c>
      <c r="W22" s="390"/>
      <c r="X22" s="234">
        <f t="shared" si="4"/>
        <v>-10773200</v>
      </c>
      <c r="Y22" s="233"/>
      <c r="Z22" s="234">
        <f t="shared" si="5"/>
        <v>89929237</v>
      </c>
      <c r="AA22" s="395"/>
    </row>
    <row r="23" spans="1:27" ht="12.75" customHeight="1">
      <c r="A23" s="232" t="s">
        <v>14</v>
      </c>
      <c r="B23" s="244">
        <f>'(B) Base Bud Adj'!T23</f>
        <v>71413808</v>
      </c>
      <c r="C23" s="232"/>
      <c r="D23" s="216">
        <f>'(D) Tuition Revenue'!T23</f>
        <v>-2707000</v>
      </c>
      <c r="E23" s="216"/>
      <c r="F23" s="216">
        <f>'(E) SUG '!L23</f>
        <v>1991100</v>
      </c>
      <c r="G23" s="232"/>
      <c r="H23" s="232">
        <f t="shared" si="0"/>
        <v>70697908</v>
      </c>
      <c r="I23" s="232"/>
      <c r="J23" s="341">
        <f>'(A) Budget Summary'!S24+'(A) Budget Summary'!T24</f>
        <v>113076192</v>
      </c>
      <c r="K23" s="342"/>
      <c r="L23" s="342">
        <f t="shared" si="1"/>
        <v>183774100</v>
      </c>
      <c r="M23" s="342"/>
      <c r="N23" s="343">
        <f>'(E) SUG '!I23</f>
        <v>36134400</v>
      </c>
      <c r="O23" s="343"/>
      <c r="P23" s="343">
        <f t="shared" si="2"/>
        <v>147639700</v>
      </c>
      <c r="Q23" s="343"/>
      <c r="R23" s="343"/>
      <c r="S23" s="355">
        <f t="shared" si="6"/>
        <v>-0.039954</v>
      </c>
      <c r="T23" s="357"/>
      <c r="U23" s="357"/>
      <c r="V23" s="332">
        <f t="shared" si="3"/>
        <v>-7990800</v>
      </c>
      <c r="W23" s="390"/>
      <c r="X23" s="234">
        <f t="shared" si="4"/>
        <v>-8706700</v>
      </c>
      <c r="Y23" s="233"/>
      <c r="Z23" s="234">
        <f t="shared" si="5"/>
        <v>62707108</v>
      </c>
      <c r="AA23" s="395"/>
    </row>
    <row r="24" spans="1:27" ht="12.75" customHeight="1">
      <c r="A24" s="232" t="s">
        <v>15</v>
      </c>
      <c r="B24" s="244">
        <f>'(B) Base Bud Adj'!T24</f>
        <v>124962996</v>
      </c>
      <c r="C24" s="232"/>
      <c r="D24" s="216">
        <f>'(D) Tuition Revenue'!T24</f>
        <v>-5497000</v>
      </c>
      <c r="E24" s="216"/>
      <c r="F24" s="216">
        <f>'(E) SUG '!L24</f>
        <v>4863200</v>
      </c>
      <c r="G24" s="232"/>
      <c r="H24" s="232">
        <f t="shared" si="0"/>
        <v>124329196</v>
      </c>
      <c r="I24" s="232"/>
      <c r="J24" s="341">
        <f>'(A) Budget Summary'!S25+'(A) Budget Summary'!T25</f>
        <v>208111627</v>
      </c>
      <c r="K24" s="342"/>
      <c r="L24" s="342">
        <f t="shared" si="1"/>
        <v>332440823</v>
      </c>
      <c r="M24" s="342"/>
      <c r="N24" s="343">
        <f>'(E) SUG '!I24</f>
        <v>45205000</v>
      </c>
      <c r="O24" s="343"/>
      <c r="P24" s="343">
        <f t="shared" si="2"/>
        <v>287235823</v>
      </c>
      <c r="Q24" s="343"/>
      <c r="R24" s="343"/>
      <c r="S24" s="355">
        <f t="shared" si="6"/>
        <v>-0.077731</v>
      </c>
      <c r="T24" s="357"/>
      <c r="U24" s="357"/>
      <c r="V24" s="332">
        <f t="shared" si="3"/>
        <v>-15546200</v>
      </c>
      <c r="W24" s="390"/>
      <c r="X24" s="234">
        <f t="shared" si="4"/>
        <v>-16180000</v>
      </c>
      <c r="Y24" s="233"/>
      <c r="Z24" s="234">
        <f t="shared" si="5"/>
        <v>108782996</v>
      </c>
      <c r="AA24" s="395"/>
    </row>
    <row r="25" spans="1:27" ht="12.75" customHeight="1">
      <c r="A25" s="232" t="s">
        <v>16</v>
      </c>
      <c r="B25" s="244">
        <f>'(B) Base Bud Adj'!T25</f>
        <v>104030959</v>
      </c>
      <c r="C25" s="232"/>
      <c r="D25" s="216">
        <f>'(D) Tuition Revenue'!T25</f>
        <v>-4558000</v>
      </c>
      <c r="E25" s="216"/>
      <c r="F25" s="216">
        <f>'(E) SUG '!L25</f>
        <v>5126400</v>
      </c>
      <c r="G25" s="232"/>
      <c r="H25" s="232">
        <f t="shared" si="0"/>
        <v>104599359</v>
      </c>
      <c r="I25" s="232"/>
      <c r="J25" s="341">
        <f>'(A) Budget Summary'!S26+'(A) Budget Summary'!T26</f>
        <v>189899377</v>
      </c>
      <c r="K25" s="342"/>
      <c r="L25" s="342">
        <f t="shared" si="1"/>
        <v>294498736</v>
      </c>
      <c r="M25" s="342"/>
      <c r="N25" s="343">
        <f>'(E) SUG '!I25</f>
        <v>48868700</v>
      </c>
      <c r="O25" s="343"/>
      <c r="P25" s="343">
        <f t="shared" si="2"/>
        <v>245630036</v>
      </c>
      <c r="Q25" s="343"/>
      <c r="R25" s="343"/>
      <c r="S25" s="355">
        <f t="shared" si="6"/>
        <v>-0.066472</v>
      </c>
      <c r="T25" s="357"/>
      <c r="U25" s="357"/>
      <c r="V25" s="332">
        <f t="shared" si="3"/>
        <v>-13294400</v>
      </c>
      <c r="W25" s="390"/>
      <c r="X25" s="234">
        <f t="shared" si="4"/>
        <v>-12726000</v>
      </c>
      <c r="Y25" s="233"/>
      <c r="Z25" s="234">
        <f t="shared" si="5"/>
        <v>91304959</v>
      </c>
      <c r="AA25" s="395"/>
    </row>
    <row r="26" spans="1:27" ht="12.75" customHeight="1">
      <c r="A26" s="232" t="s">
        <v>17</v>
      </c>
      <c r="B26" s="244">
        <f>'(B) Base Bud Adj'!T26</f>
        <v>93673982</v>
      </c>
      <c r="C26" s="232"/>
      <c r="D26" s="216">
        <f>'(D) Tuition Revenue'!T26</f>
        <v>-4468000</v>
      </c>
      <c r="E26" s="216"/>
      <c r="F26" s="216">
        <f>'(E) SUG '!L26</f>
        <v>4529800</v>
      </c>
      <c r="G26" s="232"/>
      <c r="H26" s="232">
        <f t="shared" si="0"/>
        <v>93735782</v>
      </c>
      <c r="I26" s="232"/>
      <c r="J26" s="341">
        <f>'(A) Budget Summary'!S27+'(A) Budget Summary'!T27</f>
        <v>176335100</v>
      </c>
      <c r="K26" s="342"/>
      <c r="L26" s="342">
        <f t="shared" si="1"/>
        <v>270070882</v>
      </c>
      <c r="M26" s="342"/>
      <c r="N26" s="343">
        <f>'(E) SUG '!I26</f>
        <v>39437100</v>
      </c>
      <c r="O26" s="343"/>
      <c r="P26" s="343">
        <f t="shared" si="2"/>
        <v>230633782</v>
      </c>
      <c r="Q26" s="343"/>
      <c r="R26" s="343"/>
      <c r="S26" s="355">
        <f t="shared" si="6"/>
        <v>-0.062414</v>
      </c>
      <c r="T26" s="357"/>
      <c r="U26" s="357"/>
      <c r="V26" s="332">
        <f t="shared" si="3"/>
        <v>-12482800</v>
      </c>
      <c r="W26" s="390"/>
      <c r="X26" s="234">
        <f t="shared" si="4"/>
        <v>-12421000</v>
      </c>
      <c r="Y26" s="233"/>
      <c r="Z26" s="234">
        <f t="shared" si="5"/>
        <v>81252982</v>
      </c>
      <c r="AA26" s="395"/>
    </row>
    <row r="27" spans="1:27" ht="12.75" customHeight="1">
      <c r="A27" s="232" t="s">
        <v>18</v>
      </c>
      <c r="B27" s="244">
        <f>'(B) Base Bud Adj'!T27</f>
        <v>83525368</v>
      </c>
      <c r="C27" s="232"/>
      <c r="D27" s="216">
        <f>'(D) Tuition Revenue'!T27</f>
        <v>-2891000</v>
      </c>
      <c r="E27" s="216"/>
      <c r="F27" s="216">
        <f>'(E) SUG '!L27</f>
        <v>1016400</v>
      </c>
      <c r="G27" s="232"/>
      <c r="H27" s="232">
        <f t="shared" si="0"/>
        <v>81650768</v>
      </c>
      <c r="I27" s="232"/>
      <c r="J27" s="341">
        <f>'(A) Budget Summary'!S28+'(A) Budget Summary'!T28</f>
        <v>138672000</v>
      </c>
      <c r="K27" s="342"/>
      <c r="L27" s="342">
        <f t="shared" si="1"/>
        <v>220322768</v>
      </c>
      <c r="M27" s="342"/>
      <c r="N27" s="343">
        <f>'(E) SUG '!I27</f>
        <v>15698900</v>
      </c>
      <c r="O27" s="343"/>
      <c r="P27" s="343">
        <f t="shared" si="2"/>
        <v>204623868</v>
      </c>
      <c r="Q27" s="343"/>
      <c r="R27" s="343"/>
      <c r="S27" s="355">
        <f t="shared" si="6"/>
        <v>-0.055375</v>
      </c>
      <c r="T27" s="357"/>
      <c r="U27" s="357"/>
      <c r="V27" s="332">
        <f t="shared" si="3"/>
        <v>-11075000</v>
      </c>
      <c r="W27" s="390"/>
      <c r="X27" s="234">
        <f t="shared" si="4"/>
        <v>-12949600</v>
      </c>
      <c r="Y27" s="233"/>
      <c r="Z27" s="234">
        <f t="shared" si="5"/>
        <v>70575768</v>
      </c>
      <c r="AA27" s="395"/>
    </row>
    <row r="28" spans="1:27" ht="12.75" customHeight="1">
      <c r="A28" s="232" t="s">
        <v>19</v>
      </c>
      <c r="B28" s="244">
        <f>'(B) Base Bud Adj'!T28</f>
        <v>48970252</v>
      </c>
      <c r="C28" s="232"/>
      <c r="D28" s="216">
        <f>'(D) Tuition Revenue'!T28</f>
        <v>-1488000</v>
      </c>
      <c r="E28" s="216"/>
      <c r="F28" s="216">
        <f>'(E) SUG '!L28</f>
        <v>2643000</v>
      </c>
      <c r="G28" s="232"/>
      <c r="H28" s="232">
        <f t="shared" si="0"/>
        <v>50125252</v>
      </c>
      <c r="I28" s="232"/>
      <c r="J28" s="341">
        <f>'(A) Budget Summary'!S29+'(A) Budget Summary'!T29</f>
        <v>58867000</v>
      </c>
      <c r="K28" s="342"/>
      <c r="L28" s="342">
        <f t="shared" si="1"/>
        <v>108992252</v>
      </c>
      <c r="M28" s="342"/>
      <c r="N28" s="343">
        <f>'(E) SUG '!I28</f>
        <v>16932900</v>
      </c>
      <c r="O28" s="343"/>
      <c r="P28" s="343">
        <f t="shared" si="2"/>
        <v>92059352</v>
      </c>
      <c r="Q28" s="343"/>
      <c r="R28" s="343"/>
      <c r="S28" s="355">
        <f t="shared" si="6"/>
        <v>-0.024913</v>
      </c>
      <c r="T28" s="357"/>
      <c r="U28" s="357"/>
      <c r="V28" s="332">
        <f t="shared" si="3"/>
        <v>-4982600</v>
      </c>
      <c r="W28" s="390"/>
      <c r="X28" s="234">
        <f t="shared" si="4"/>
        <v>-3827600</v>
      </c>
      <c r="Y28" s="233"/>
      <c r="Z28" s="234">
        <f t="shared" si="5"/>
        <v>45142652</v>
      </c>
      <c r="AA28" s="395"/>
    </row>
    <row r="29" spans="1:27" ht="12.75" customHeight="1">
      <c r="A29" s="232" t="s">
        <v>20</v>
      </c>
      <c r="B29" s="244">
        <f>'(B) Base Bud Adj'!T29</f>
        <v>43678183</v>
      </c>
      <c r="C29" s="232"/>
      <c r="D29" s="216">
        <f>'(D) Tuition Revenue'!T29</f>
        <v>-1324000</v>
      </c>
      <c r="E29" s="216"/>
      <c r="F29" s="216">
        <f>'(E) SUG '!L29</f>
        <v>1555400</v>
      </c>
      <c r="G29" s="232"/>
      <c r="H29" s="232">
        <f t="shared" si="0"/>
        <v>43909583</v>
      </c>
      <c r="I29" s="232"/>
      <c r="J29" s="341">
        <f>'(A) Budget Summary'!S30+'(A) Budget Summary'!T30</f>
        <v>51254000</v>
      </c>
      <c r="K29" s="342"/>
      <c r="L29" s="342">
        <f t="shared" si="1"/>
        <v>95163583</v>
      </c>
      <c r="M29" s="342"/>
      <c r="N29" s="343">
        <f>'(E) SUG '!I29</f>
        <v>11199500</v>
      </c>
      <c r="O29" s="343"/>
      <c r="P29" s="343">
        <f t="shared" si="2"/>
        <v>83964083</v>
      </c>
      <c r="Q29" s="343"/>
      <c r="R29" s="343"/>
      <c r="S29" s="355">
        <f t="shared" si="6"/>
        <v>-0.022722</v>
      </c>
      <c r="T29" s="357"/>
      <c r="U29" s="357"/>
      <c r="V29" s="332">
        <f t="shared" si="3"/>
        <v>-4544400</v>
      </c>
      <c r="W29" s="390"/>
      <c r="X29" s="234">
        <f t="shared" si="4"/>
        <v>-4313000</v>
      </c>
      <c r="Y29" s="233"/>
      <c r="Z29" s="234">
        <f t="shared" si="5"/>
        <v>39365183</v>
      </c>
      <c r="AA29" s="395"/>
    </row>
    <row r="30" spans="1:27" ht="12.75" customHeight="1">
      <c r="A30" s="232" t="s">
        <v>21</v>
      </c>
      <c r="B30" s="244">
        <f>'(B) Base Bud Adj'!T30</f>
        <v>44198947</v>
      </c>
      <c r="C30" s="232"/>
      <c r="D30" s="216">
        <f>'(D) Tuition Revenue'!T30</f>
        <v>-1341000</v>
      </c>
      <c r="E30" s="216"/>
      <c r="F30" s="216">
        <f>'(E) SUG '!L30</f>
        <v>2561700</v>
      </c>
      <c r="G30" s="232"/>
      <c r="H30" s="232">
        <f t="shared" si="0"/>
        <v>45419647</v>
      </c>
      <c r="I30" s="232"/>
      <c r="J30" s="341">
        <f>'(A) Budget Summary'!S31+'(A) Budget Summary'!T31</f>
        <v>56876017</v>
      </c>
      <c r="K30" s="342"/>
      <c r="L30" s="342">
        <f t="shared" si="1"/>
        <v>102295664</v>
      </c>
      <c r="M30" s="342"/>
      <c r="N30" s="343">
        <f>'(E) SUG '!I30</f>
        <v>17288200</v>
      </c>
      <c r="O30" s="343"/>
      <c r="P30" s="343">
        <f t="shared" si="2"/>
        <v>85007464</v>
      </c>
      <c r="Q30" s="343"/>
      <c r="R30" s="343"/>
      <c r="S30" s="355">
        <f t="shared" si="6"/>
        <v>-0.023005</v>
      </c>
      <c r="T30" s="357"/>
      <c r="U30" s="357"/>
      <c r="V30" s="332">
        <f t="shared" si="3"/>
        <v>-4601000</v>
      </c>
      <c r="W30" s="390"/>
      <c r="X30" s="234">
        <f t="shared" si="4"/>
        <v>-3380300</v>
      </c>
      <c r="Y30" s="233"/>
      <c r="Z30" s="234">
        <f t="shared" si="5"/>
        <v>40818647</v>
      </c>
      <c r="AA30" s="395"/>
    </row>
    <row r="31" spans="1:27" ht="9" customHeight="1">
      <c r="A31" s="232"/>
      <c r="B31" s="244"/>
      <c r="C31" s="232"/>
      <c r="D31" s="77"/>
      <c r="E31" s="77"/>
      <c r="F31" s="77"/>
      <c r="G31" s="232"/>
      <c r="H31" s="232"/>
      <c r="I31" s="232"/>
      <c r="J31" s="341"/>
      <c r="K31" s="342"/>
      <c r="L31" s="342"/>
      <c r="M31" s="342"/>
      <c r="N31" s="343"/>
      <c r="O31" s="343"/>
      <c r="P31" s="343"/>
      <c r="Q31" s="343"/>
      <c r="R31" s="343"/>
      <c r="S31" s="358"/>
      <c r="T31" s="357"/>
      <c r="U31" s="357"/>
      <c r="V31" s="332"/>
      <c r="W31" s="390"/>
      <c r="X31" s="377"/>
      <c r="Y31" s="233"/>
      <c r="Z31" s="377"/>
      <c r="AA31" s="235"/>
    </row>
    <row r="32" spans="1:27" ht="15" customHeight="1">
      <c r="A32" s="239" t="s">
        <v>22</v>
      </c>
      <c r="B32" s="239">
        <f>SUM(B8:B31)</f>
        <v>1760426466.1599998</v>
      </c>
      <c r="C32" s="239"/>
      <c r="D32" s="219">
        <f>SUM(D8:D31)</f>
        <v>-65522000</v>
      </c>
      <c r="E32" s="219"/>
      <c r="F32" s="219">
        <f>SUM(F8:F31)</f>
        <v>65900000</v>
      </c>
      <c r="G32" s="239"/>
      <c r="H32" s="219">
        <f>SUM(H8:H31)</f>
        <v>1760804466.1599998</v>
      </c>
      <c r="I32" s="239"/>
      <c r="J32" s="344">
        <f>SUM(J8:J31)</f>
        <v>2626171962</v>
      </c>
      <c r="K32" s="345"/>
      <c r="L32" s="372">
        <f>SUM(L8:L31)</f>
        <v>4386976428.16</v>
      </c>
      <c r="M32" s="345"/>
      <c r="N32" s="346">
        <f>SUM(N8:N30)</f>
        <v>691734800</v>
      </c>
      <c r="O32" s="346"/>
      <c r="P32" s="346">
        <f>SUM(P8:P30)</f>
        <v>3695241628.16</v>
      </c>
      <c r="Q32" s="346"/>
      <c r="R32" s="346"/>
      <c r="S32" s="359">
        <f>SUM(S8:S30)</f>
        <v>-0.9999999999999999</v>
      </c>
      <c r="T32" s="346"/>
      <c r="U32" s="346"/>
      <c r="V32" s="333">
        <f>SUM(V8:V30)</f>
        <v>-200000000</v>
      </c>
      <c r="W32" s="391"/>
      <c r="X32" s="241">
        <f>SUM(X8:X31)</f>
        <v>-199622000</v>
      </c>
      <c r="Y32" s="240"/>
      <c r="Z32" s="241">
        <f>SUM(Z8:Z31)</f>
        <v>1560804466.1599998</v>
      </c>
      <c r="AA32" s="228"/>
    </row>
    <row r="33" spans="1:27" ht="9" customHeight="1">
      <c r="A33" s="232"/>
      <c r="B33" s="244"/>
      <c r="C33" s="232"/>
      <c r="D33" s="77"/>
      <c r="E33" s="77"/>
      <c r="F33" s="77"/>
      <c r="G33" s="232"/>
      <c r="H33" s="232"/>
      <c r="I33" s="232"/>
      <c r="J33" s="341"/>
      <c r="K33" s="342"/>
      <c r="L33" s="342"/>
      <c r="M33" s="342"/>
      <c r="N33" s="343"/>
      <c r="O33" s="343"/>
      <c r="P33" s="343"/>
      <c r="Q33" s="343"/>
      <c r="R33" s="343"/>
      <c r="S33" s="358"/>
      <c r="T33" s="357"/>
      <c r="U33" s="357"/>
      <c r="V33" s="332"/>
      <c r="W33" s="390"/>
      <c r="X33" s="377"/>
      <c r="Y33" s="233"/>
      <c r="Z33" s="377"/>
      <c r="AA33" s="235"/>
    </row>
    <row r="34" spans="1:27" ht="12.75" customHeight="1">
      <c r="A34" s="205" t="s">
        <v>23</v>
      </c>
      <c r="B34" s="244">
        <f>'(B) Base Bud Adj'!T34</f>
        <v>64213689</v>
      </c>
      <c r="C34" s="205"/>
      <c r="D34" s="216">
        <f>'(D) Tuition Revenue'!T34</f>
        <v>0</v>
      </c>
      <c r="E34" s="75"/>
      <c r="F34" s="75">
        <v>0</v>
      </c>
      <c r="G34" s="205"/>
      <c r="H34" s="232">
        <f aca="true" t="shared" si="7" ref="H34:H40">B34+D34+F34</f>
        <v>64213689</v>
      </c>
      <c r="I34" s="205"/>
      <c r="J34" s="347">
        <f>'(A) Budget Summary'!S35+'(A) Budget Summary'!T35</f>
        <v>0</v>
      </c>
      <c r="K34" s="203"/>
      <c r="L34" s="342">
        <f>H34+J34</f>
        <v>64213689</v>
      </c>
      <c r="M34" s="203"/>
      <c r="N34" s="343">
        <v>0</v>
      </c>
      <c r="O34" s="343"/>
      <c r="P34" s="343">
        <f aca="true" t="shared" si="8" ref="P34:P40">L34-N34</f>
        <v>64213689</v>
      </c>
      <c r="Q34" s="343"/>
      <c r="R34" s="343"/>
      <c r="S34" s="358">
        <v>0</v>
      </c>
      <c r="T34" s="357"/>
      <c r="U34" s="357"/>
      <c r="V34" s="332">
        <f>S34*200000000</f>
        <v>0</v>
      </c>
      <c r="W34" s="390"/>
      <c r="X34" s="234">
        <f aca="true" t="shared" si="9" ref="X34:X40">D34+F34+V34</f>
        <v>0</v>
      </c>
      <c r="Y34" s="233"/>
      <c r="Z34" s="234">
        <f aca="true" t="shared" si="10" ref="Z34:Z40">B34+X34</f>
        <v>64213689</v>
      </c>
      <c r="AA34" s="228"/>
    </row>
    <row r="35" spans="1:27" ht="12.75" customHeight="1">
      <c r="A35" s="205" t="s">
        <v>29</v>
      </c>
      <c r="B35" s="244">
        <f>'(B) Base Bud Adj'!T35</f>
        <v>981735</v>
      </c>
      <c r="C35" s="205"/>
      <c r="D35" s="216">
        <f>'(D) Tuition Revenue'!T35</f>
        <v>-224000</v>
      </c>
      <c r="E35" s="75"/>
      <c r="F35" s="75">
        <v>0</v>
      </c>
      <c r="G35" s="205"/>
      <c r="H35" s="232">
        <f t="shared" si="7"/>
        <v>757735</v>
      </c>
      <c r="I35" s="205"/>
      <c r="J35" s="347">
        <f>'(A) Budget Summary'!S36+'(A) Budget Summary'!T36</f>
        <v>697000</v>
      </c>
      <c r="K35" s="203"/>
      <c r="L35" s="342">
        <f aca="true" t="shared" si="11" ref="L35:L40">H35+J35</f>
        <v>1454735</v>
      </c>
      <c r="M35" s="203"/>
      <c r="N35" s="343">
        <v>0</v>
      </c>
      <c r="O35" s="343"/>
      <c r="P35" s="343">
        <f t="shared" si="8"/>
        <v>1454735</v>
      </c>
      <c r="Q35" s="343"/>
      <c r="R35" s="343"/>
      <c r="S35" s="358">
        <v>0</v>
      </c>
      <c r="T35" s="357"/>
      <c r="U35" s="357"/>
      <c r="V35" s="332">
        <f>S35*200000000</f>
        <v>0</v>
      </c>
      <c r="W35" s="390"/>
      <c r="X35" s="234">
        <f t="shared" si="9"/>
        <v>-224000</v>
      </c>
      <c r="Y35" s="233"/>
      <c r="Z35" s="234">
        <f t="shared" si="10"/>
        <v>757735</v>
      </c>
      <c r="AA35" s="228"/>
    </row>
    <row r="36" spans="1:27" ht="12.75" customHeight="1">
      <c r="A36" s="205" t="s">
        <v>24</v>
      </c>
      <c r="B36" s="244">
        <f>'(B) Base Bud Adj'!T36</f>
        <v>2269496</v>
      </c>
      <c r="C36" s="205"/>
      <c r="D36" s="216">
        <f>'(D) Tuition Revenue'!T36</f>
        <v>-108000</v>
      </c>
      <c r="E36" s="75"/>
      <c r="F36" s="75">
        <v>0</v>
      </c>
      <c r="G36" s="205"/>
      <c r="H36" s="232">
        <f t="shared" si="7"/>
        <v>2161496</v>
      </c>
      <c r="I36" s="205"/>
      <c r="J36" s="347">
        <f>'(A) Budget Summary'!S37+'(A) Budget Summary'!T37</f>
        <v>3339000</v>
      </c>
      <c r="K36" s="203"/>
      <c r="L36" s="342">
        <f t="shared" si="11"/>
        <v>5500496</v>
      </c>
      <c r="M36" s="203"/>
      <c r="N36" s="343">
        <v>0</v>
      </c>
      <c r="O36" s="343"/>
      <c r="P36" s="343">
        <f t="shared" si="8"/>
        <v>5500496</v>
      </c>
      <c r="Q36" s="343"/>
      <c r="R36" s="343"/>
      <c r="S36" s="358">
        <v>0</v>
      </c>
      <c r="T36" s="357"/>
      <c r="U36" s="357"/>
      <c r="V36" s="332">
        <f>S36*200000000</f>
        <v>0</v>
      </c>
      <c r="W36" s="390"/>
      <c r="X36" s="234">
        <f t="shared" si="9"/>
        <v>-108000</v>
      </c>
      <c r="Y36" s="233"/>
      <c r="Z36" s="234">
        <f t="shared" si="10"/>
        <v>2161496</v>
      </c>
      <c r="AA36" s="228"/>
    </row>
    <row r="37" spans="1:27" ht="12.75" customHeight="1">
      <c r="A37" s="205" t="s">
        <v>25</v>
      </c>
      <c r="B37" s="244">
        <f>'(B) Base Bud Adj'!T37</f>
        <v>57800</v>
      </c>
      <c r="C37" s="205"/>
      <c r="D37" s="216">
        <f>'(D) Tuition Revenue'!T37</f>
        <v>-46000</v>
      </c>
      <c r="E37" s="75"/>
      <c r="F37" s="75">
        <v>0</v>
      </c>
      <c r="G37" s="205"/>
      <c r="H37" s="232">
        <f t="shared" si="7"/>
        <v>11800</v>
      </c>
      <c r="I37" s="205"/>
      <c r="J37" s="347">
        <f>'(A) Budget Summary'!S38+'(A) Budget Summary'!T38</f>
        <v>144000</v>
      </c>
      <c r="K37" s="203"/>
      <c r="L37" s="342">
        <f t="shared" si="11"/>
        <v>155800</v>
      </c>
      <c r="M37" s="203"/>
      <c r="N37" s="343">
        <v>0</v>
      </c>
      <c r="O37" s="343"/>
      <c r="P37" s="343">
        <f t="shared" si="8"/>
        <v>155800</v>
      </c>
      <c r="Q37" s="343"/>
      <c r="R37" s="343"/>
      <c r="S37" s="358">
        <v>0</v>
      </c>
      <c r="T37" s="357"/>
      <c r="U37" s="357"/>
      <c r="V37" s="332">
        <f>S37*200000000</f>
        <v>0</v>
      </c>
      <c r="W37" s="390"/>
      <c r="X37" s="234">
        <f t="shared" si="9"/>
        <v>-46000</v>
      </c>
      <c r="Y37" s="233"/>
      <c r="Z37" s="234">
        <f t="shared" si="10"/>
        <v>11800</v>
      </c>
      <c r="AA37" s="228"/>
    </row>
    <row r="38" spans="1:27" ht="12.75" customHeight="1">
      <c r="A38" s="204" t="s">
        <v>26</v>
      </c>
      <c r="B38" s="244">
        <f>'(B) Base Bud Adj'!T38</f>
        <v>182703751</v>
      </c>
      <c r="C38" s="205"/>
      <c r="D38" s="216">
        <f>'(D) Tuition Revenue'!T38</f>
        <v>0</v>
      </c>
      <c r="E38" s="75"/>
      <c r="F38" s="75">
        <v>0</v>
      </c>
      <c r="G38" s="205"/>
      <c r="H38" s="232">
        <f t="shared" si="7"/>
        <v>182703751</v>
      </c>
      <c r="I38" s="204"/>
      <c r="J38" s="347">
        <f>'(A) Budget Summary'!S39+'(A) Budget Summary'!T39</f>
        <v>1000</v>
      </c>
      <c r="K38" s="203"/>
      <c r="L38" s="342">
        <f t="shared" si="11"/>
        <v>182704751</v>
      </c>
      <c r="M38" s="203"/>
      <c r="N38" s="343">
        <v>0</v>
      </c>
      <c r="O38" s="343"/>
      <c r="P38" s="343">
        <f t="shared" si="8"/>
        <v>182704751</v>
      </c>
      <c r="Q38" s="343"/>
      <c r="R38" s="343"/>
      <c r="S38" s="358">
        <v>0</v>
      </c>
      <c r="T38" s="357"/>
      <c r="U38" s="357"/>
      <c r="V38" s="332">
        <f>S38*200000000</f>
        <v>0</v>
      </c>
      <c r="W38" s="390"/>
      <c r="X38" s="234">
        <f t="shared" si="9"/>
        <v>0</v>
      </c>
      <c r="Y38" s="233"/>
      <c r="Z38" s="234">
        <f t="shared" si="10"/>
        <v>182703751</v>
      </c>
      <c r="AA38" s="228"/>
    </row>
    <row r="39" spans="1:27" ht="12.75" customHeight="1">
      <c r="A39" s="75" t="s">
        <v>123</v>
      </c>
      <c r="B39" s="244">
        <f>'(B) Base Bud Adj'!T39</f>
        <v>0</v>
      </c>
      <c r="C39" s="205"/>
      <c r="D39" s="216">
        <f>'(D) Tuition Revenue'!T39</f>
        <v>0</v>
      </c>
      <c r="E39" s="75"/>
      <c r="F39" s="75">
        <v>0</v>
      </c>
      <c r="G39" s="205"/>
      <c r="H39" s="232">
        <v>0</v>
      </c>
      <c r="I39" s="75"/>
      <c r="J39" s="347">
        <f>'(A) Budget Summary'!S40+'(A) Budget Summary'!T40</f>
        <v>0</v>
      </c>
      <c r="K39" s="203"/>
      <c r="L39" s="342">
        <f t="shared" si="11"/>
        <v>0</v>
      </c>
      <c r="M39" s="203"/>
      <c r="N39" s="343">
        <v>0</v>
      </c>
      <c r="O39" s="343"/>
      <c r="P39" s="343">
        <f t="shared" si="8"/>
        <v>0</v>
      </c>
      <c r="Q39" s="343"/>
      <c r="R39" s="343"/>
      <c r="S39" s="358">
        <v>0</v>
      </c>
      <c r="T39" s="357"/>
      <c r="U39" s="357"/>
      <c r="V39" s="332">
        <v>200000000</v>
      </c>
      <c r="W39" s="390"/>
      <c r="X39" s="234">
        <f t="shared" si="9"/>
        <v>200000000</v>
      </c>
      <c r="Y39" s="233"/>
      <c r="Z39" s="234">
        <f t="shared" si="10"/>
        <v>200000000</v>
      </c>
      <c r="AA39" s="228"/>
    </row>
    <row r="40" spans="1:27" ht="12.75" customHeight="1">
      <c r="A40" s="75" t="s">
        <v>124</v>
      </c>
      <c r="B40" s="244">
        <f>'(B) Base Bud Adj'!T40</f>
        <v>189775000</v>
      </c>
      <c r="C40" s="205"/>
      <c r="D40" s="216">
        <f>'(D) Tuition Revenue'!T40</f>
        <v>0</v>
      </c>
      <c r="E40" s="75"/>
      <c r="F40" s="75">
        <v>0</v>
      </c>
      <c r="G40" s="205"/>
      <c r="H40" s="232">
        <f t="shared" si="7"/>
        <v>189775000</v>
      </c>
      <c r="I40" s="75"/>
      <c r="J40" s="347">
        <f>'(A) Budget Summary'!S41+'(A) Budget Summary'!T41</f>
        <v>0</v>
      </c>
      <c r="K40" s="203"/>
      <c r="L40" s="342">
        <f t="shared" si="11"/>
        <v>189775000</v>
      </c>
      <c r="M40" s="203"/>
      <c r="N40" s="343">
        <v>0</v>
      </c>
      <c r="O40" s="343"/>
      <c r="P40" s="343">
        <f t="shared" si="8"/>
        <v>189775000</v>
      </c>
      <c r="Q40" s="343"/>
      <c r="R40" s="343"/>
      <c r="S40" s="358">
        <v>0</v>
      </c>
      <c r="T40" s="357"/>
      <c r="U40" s="373"/>
      <c r="V40" s="364">
        <v>0</v>
      </c>
      <c r="W40" s="390"/>
      <c r="X40" s="234">
        <f t="shared" si="9"/>
        <v>0</v>
      </c>
      <c r="Y40" s="233"/>
      <c r="Z40" s="234">
        <f t="shared" si="10"/>
        <v>189775000</v>
      </c>
      <c r="AA40" s="235"/>
    </row>
    <row r="41" spans="1:27" ht="9" customHeight="1">
      <c r="A41" s="244"/>
      <c r="B41" s="383"/>
      <c r="C41" s="244"/>
      <c r="D41" s="77"/>
      <c r="E41" s="77"/>
      <c r="F41" s="77"/>
      <c r="G41" s="244"/>
      <c r="H41" s="244"/>
      <c r="I41" s="244"/>
      <c r="J41" s="384"/>
      <c r="K41" s="348"/>
      <c r="L41" s="348"/>
      <c r="M41" s="348"/>
      <c r="N41" s="349"/>
      <c r="O41" s="349"/>
      <c r="P41" s="349"/>
      <c r="Q41" s="349"/>
      <c r="R41" s="349"/>
      <c r="S41" s="360"/>
      <c r="T41" s="361"/>
      <c r="U41" s="374"/>
      <c r="V41" s="365"/>
      <c r="W41" s="392"/>
      <c r="X41" s="377"/>
      <c r="Y41" s="245"/>
      <c r="Z41" s="377"/>
      <c r="AA41" s="235"/>
    </row>
    <row r="42" spans="1:27" ht="15" customHeight="1" thickBot="1">
      <c r="A42" s="249" t="s">
        <v>27</v>
      </c>
      <c r="B42" s="378">
        <f>SUM(B32:B40)</f>
        <v>2200427937.16</v>
      </c>
      <c r="C42" s="249"/>
      <c r="D42" s="224">
        <f>SUM(D32:D40)</f>
        <v>-65900000</v>
      </c>
      <c r="E42" s="224"/>
      <c r="F42" s="224">
        <f>SUM(F32:F40)</f>
        <v>65900000</v>
      </c>
      <c r="G42" s="224"/>
      <c r="H42" s="224">
        <f>SUM(H32:H40)</f>
        <v>2200427937.16</v>
      </c>
      <c r="I42" s="224"/>
      <c r="J42" s="385">
        <f>SUM(J32:J40)</f>
        <v>2630352962</v>
      </c>
      <c r="K42" s="366"/>
      <c r="L42" s="371">
        <f>SUM(L32:L40)</f>
        <v>4830780899.16</v>
      </c>
      <c r="M42" s="366"/>
      <c r="N42" s="367">
        <f>SUM(N32:N40)</f>
        <v>691734800</v>
      </c>
      <c r="O42" s="367"/>
      <c r="P42" s="367">
        <f>SUM(P32:P40)</f>
        <v>4139046099.16</v>
      </c>
      <c r="Q42" s="367"/>
      <c r="R42" s="367"/>
      <c r="S42" s="368">
        <f>SUM(S32:S40)</f>
        <v>-0.9999999999999999</v>
      </c>
      <c r="T42" s="369"/>
      <c r="U42" s="375"/>
      <c r="V42" s="370">
        <f>SUM(V32:V40)</f>
        <v>0</v>
      </c>
      <c r="W42" s="393"/>
      <c r="X42" s="251">
        <f>SUM(X32:X40)</f>
        <v>0</v>
      </c>
      <c r="Y42" s="250"/>
      <c r="Z42" s="251">
        <f>SUM(Z32:Z40)</f>
        <v>2200427937.16</v>
      </c>
      <c r="AA42" s="228"/>
    </row>
    <row r="43" spans="1:27" ht="9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44"/>
      <c r="S43" s="253"/>
      <c r="T43" s="253"/>
      <c r="U43" s="253"/>
      <c r="V43" s="253"/>
      <c r="W43" s="253"/>
      <c r="X43" s="253"/>
      <c r="Y43" s="253"/>
      <c r="Z43" s="235"/>
      <c r="AA43" s="235"/>
    </row>
    <row r="44" spans="1:27" ht="18" customHeight="1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44"/>
      <c r="S44" s="253"/>
      <c r="T44" s="253"/>
      <c r="U44" s="253"/>
      <c r="V44" s="253"/>
      <c r="W44" s="253"/>
      <c r="X44" s="253"/>
      <c r="Y44" s="253"/>
      <c r="Z44" s="235"/>
      <c r="AA44" s="235"/>
    </row>
    <row r="45" spans="1:30" ht="15.75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53"/>
      <c r="O45" s="253"/>
      <c r="P45" s="253"/>
      <c r="Q45" s="253"/>
      <c r="R45" s="233"/>
      <c r="S45" s="253"/>
      <c r="T45" s="253"/>
      <c r="U45" s="253"/>
      <c r="V45" s="256">
        <f>(7605900-57000-215000-212000-32000-128000-480000-11000)</f>
        <v>6470900</v>
      </c>
      <c r="W45" s="256"/>
      <c r="X45" s="256"/>
      <c r="Y45" s="253"/>
      <c r="Z45" s="235"/>
      <c r="AA45" s="235"/>
      <c r="AB45" s="199"/>
      <c r="AC45" s="199"/>
      <c r="AD45" s="200"/>
    </row>
    <row r="46" spans="14:30" ht="15.75">
      <c r="N46" s="199"/>
      <c r="O46" s="199"/>
      <c r="P46" s="199"/>
      <c r="Q46" s="199"/>
      <c r="R46" s="200"/>
      <c r="S46" s="199"/>
      <c r="T46" s="199"/>
      <c r="U46" s="199"/>
      <c r="V46" s="199"/>
      <c r="W46" s="199"/>
      <c r="X46" s="199"/>
      <c r="Y46" s="199"/>
      <c r="Z46" s="208"/>
      <c r="AA46" s="208"/>
      <c r="AB46" s="199"/>
      <c r="AC46" s="199"/>
      <c r="AD46" s="200"/>
    </row>
    <row r="47" spans="14:30" ht="15.75">
      <c r="N47" s="199"/>
      <c r="O47" s="199"/>
      <c r="P47" s="199"/>
      <c r="Q47" s="199"/>
      <c r="R47" s="200"/>
      <c r="S47" s="199"/>
      <c r="T47" s="199"/>
      <c r="U47" s="199"/>
      <c r="V47" s="199"/>
      <c r="W47" s="199"/>
      <c r="X47" s="199"/>
      <c r="Y47" s="199"/>
      <c r="Z47" s="208"/>
      <c r="AA47" s="208"/>
      <c r="AB47" s="199"/>
      <c r="AC47" s="199"/>
      <c r="AD47" s="199"/>
    </row>
    <row r="48" spans="14:30" ht="15.75">
      <c r="N48" s="199"/>
      <c r="O48" s="199"/>
      <c r="P48" s="199"/>
      <c r="Q48" s="199"/>
      <c r="R48" s="200"/>
      <c r="S48" s="199"/>
      <c r="T48" s="199"/>
      <c r="U48" s="199"/>
      <c r="V48" s="199"/>
      <c r="W48" s="199"/>
      <c r="X48" s="199"/>
      <c r="Y48" s="199"/>
      <c r="Z48" s="208"/>
      <c r="AA48" s="208"/>
      <c r="AB48" s="199"/>
      <c r="AC48" s="199"/>
      <c r="AD48" s="199"/>
    </row>
    <row r="49" spans="14:30" ht="15.75">
      <c r="N49" s="199"/>
      <c r="O49" s="199"/>
      <c r="P49" s="199"/>
      <c r="Q49" s="199"/>
      <c r="R49" s="200"/>
      <c r="S49" s="199"/>
      <c r="T49" s="199"/>
      <c r="U49" s="199"/>
      <c r="V49" s="199"/>
      <c r="W49" s="199"/>
      <c r="X49" s="199"/>
      <c r="Y49" s="199"/>
      <c r="Z49" s="208"/>
      <c r="AA49" s="208"/>
      <c r="AB49" s="199"/>
      <c r="AC49" s="199"/>
      <c r="AD49" s="199"/>
    </row>
    <row r="50" spans="14:30" ht="15.75">
      <c r="N50" s="199"/>
      <c r="O50" s="199"/>
      <c r="P50" s="199"/>
      <c r="Q50" s="199"/>
      <c r="R50" s="200"/>
      <c r="S50" s="199"/>
      <c r="T50" s="199"/>
      <c r="U50" s="199"/>
      <c r="V50" s="199"/>
      <c r="W50" s="199"/>
      <c r="X50" s="199"/>
      <c r="Y50" s="199"/>
      <c r="Z50" s="208"/>
      <c r="AA50" s="208"/>
      <c r="AB50" s="199"/>
      <c r="AC50" s="199"/>
      <c r="AD50" s="199"/>
    </row>
    <row r="51" spans="14:30" ht="15.75">
      <c r="N51" s="199"/>
      <c r="O51" s="199"/>
      <c r="P51" s="199"/>
      <c r="Q51" s="199"/>
      <c r="R51" s="200"/>
      <c r="S51" s="199"/>
      <c r="T51" s="199"/>
      <c r="U51" s="199"/>
      <c r="V51" s="199"/>
      <c r="W51" s="199"/>
      <c r="X51" s="199"/>
      <c r="Y51" s="199"/>
      <c r="Z51" s="208"/>
      <c r="AA51" s="208"/>
      <c r="AB51" s="199"/>
      <c r="AC51" s="199"/>
      <c r="AD51" s="199"/>
    </row>
    <row r="52" spans="1:13" ht="15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5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5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5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5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5.7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</row>
    <row r="58" spans="1:13" ht="15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5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5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5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  <row r="62" spans="1:13" ht="15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</row>
    <row r="63" spans="1:13" ht="15.7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</row>
    <row r="64" spans="1:13" ht="15.7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</row>
    <row r="65" spans="1:13" ht="15.7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</row>
    <row r="66" spans="1:13" ht="15.7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</row>
    <row r="67" spans="1:13" ht="15.7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</row>
    <row r="68" spans="1:13" ht="15.7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</row>
    <row r="69" spans="1:13" ht="15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</row>
    <row r="70" spans="1:13" ht="15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</row>
    <row r="71" spans="1:13" ht="15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</row>
  </sheetData>
  <sheetProtection/>
  <mergeCells count="4">
    <mergeCell ref="R6:T6"/>
    <mergeCell ref="R5:T5"/>
    <mergeCell ref="D4:F4"/>
    <mergeCell ref="J4:V4"/>
  </mergeCells>
  <printOptions/>
  <pageMargins left="0.5" right="0.25" top="0.25" bottom="0.25" header="0.3" footer="0.3"/>
  <pageSetup fitToHeight="1" fitToWidth="1" horizontalDpi="600" verticalDpi="600" orientation="landscape" paperSize="5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37" sqref="N37"/>
    </sheetView>
  </sheetViews>
  <sheetFormatPr defaultColWidth="9.33203125" defaultRowHeight="12.75"/>
  <cols>
    <col min="1" max="1" width="23.83203125" style="120" customWidth="1"/>
    <col min="2" max="2" width="11.66015625" style="120" customWidth="1"/>
    <col min="3" max="3" width="14.16015625" style="120" bestFit="1" customWidth="1"/>
    <col min="4" max="4" width="13.83203125" style="120" customWidth="1"/>
    <col min="5" max="5" width="15" style="120" bestFit="1" customWidth="1"/>
    <col min="6" max="6" width="16.83203125" style="120" bestFit="1" customWidth="1"/>
    <col min="7" max="7" width="16.33203125" style="120" bestFit="1" customWidth="1"/>
    <col min="8" max="8" width="9.33203125" style="120" bestFit="1" customWidth="1"/>
    <col min="9" max="9" width="15" style="120" bestFit="1" customWidth="1"/>
    <col min="10" max="10" width="13.83203125" style="120" customWidth="1"/>
    <col min="11" max="11" width="12.83203125" style="120" customWidth="1"/>
    <col min="12" max="12" width="13.83203125" style="120" customWidth="1"/>
    <col min="13" max="13" width="15" style="120" bestFit="1" customWidth="1"/>
    <col min="14" max="14" width="16.33203125" style="120" bestFit="1" customWidth="1"/>
    <col min="15" max="15" width="14.16015625" style="120" bestFit="1" customWidth="1"/>
    <col min="16" max="16" width="15" style="120" bestFit="1" customWidth="1"/>
    <col min="17" max="17" width="16.83203125" style="120" bestFit="1" customWidth="1"/>
    <col min="18" max="18" width="16.33203125" style="120" bestFit="1" customWidth="1"/>
    <col min="19" max="19" width="16.83203125" style="120" bestFit="1" customWidth="1"/>
    <col min="20" max="20" width="16.33203125" style="120" bestFit="1" customWidth="1"/>
    <col min="21" max="21" width="16.83203125" style="120" bestFit="1" customWidth="1"/>
    <col min="22" max="227" width="8.83203125" style="120" customWidth="1"/>
    <col min="228" max="228" width="24.16015625" style="120" customWidth="1"/>
    <col min="229" max="231" width="16.5" style="120" customWidth="1"/>
    <col min="232" max="232" width="18" style="120" customWidth="1"/>
    <col min="233" max="233" width="16.5" style="120" customWidth="1"/>
    <col min="234" max="234" width="4" style="120" customWidth="1"/>
    <col min="235" max="237" width="9.33203125" style="120" customWidth="1"/>
    <col min="238" max="238" width="22.5" style="120" customWidth="1"/>
    <col min="239" max="239" width="3.83203125" style="120" customWidth="1"/>
    <col min="240" max="240" width="16.5" style="120" customWidth="1"/>
    <col min="241" max="241" width="17.33203125" style="120" customWidth="1"/>
    <col min="242" max="245" width="16.5" style="120" customWidth="1"/>
    <col min="246" max="247" width="9.33203125" style="120" customWidth="1"/>
    <col min="248" max="248" width="18.83203125" style="120" customWidth="1"/>
    <col min="249" max="249" width="16.5" style="120" customWidth="1"/>
    <col min="250" max="250" width="17.83203125" style="120" customWidth="1"/>
    <col min="251" max="253" width="16.5" style="120" customWidth="1"/>
    <col min="254" max="254" width="17.83203125" style="120" bestFit="1" customWidth="1"/>
    <col min="255" max="255" width="16.5" style="120" customWidth="1"/>
    <col min="256" max="16384" width="21" style="120" customWidth="1"/>
  </cols>
  <sheetData>
    <row r="1" spans="1:20" s="116" customFormat="1" ht="18.75" customHeight="1">
      <c r="A1" s="115" t="s">
        <v>130</v>
      </c>
      <c r="B1" s="115"/>
      <c r="C1" s="115"/>
      <c r="G1" s="152"/>
      <c r="M1" s="153"/>
      <c r="Q1" s="150"/>
      <c r="S1" s="178" t="s">
        <v>121</v>
      </c>
      <c r="T1" s="154"/>
    </row>
    <row r="2" spans="1:21" s="117" customFormat="1" ht="6" customHeight="1">
      <c r="A2" s="155"/>
      <c r="U2" s="118"/>
    </row>
    <row r="3" spans="1:21" ht="15.75" customHeight="1" thickBot="1">
      <c r="A3" s="119"/>
      <c r="C3" s="22">
        <v>-1</v>
      </c>
      <c r="D3" s="22">
        <v>-2</v>
      </c>
      <c r="E3" s="22">
        <v>-3</v>
      </c>
      <c r="F3" s="114" t="s">
        <v>91</v>
      </c>
      <c r="G3" s="114" t="s">
        <v>92</v>
      </c>
      <c r="H3" s="114"/>
      <c r="I3" s="114" t="s">
        <v>88</v>
      </c>
      <c r="J3" s="114" t="s">
        <v>93</v>
      </c>
      <c r="K3" s="114" t="s">
        <v>94</v>
      </c>
      <c r="L3" s="114" t="s">
        <v>95</v>
      </c>
      <c r="M3" s="114" t="s">
        <v>96</v>
      </c>
      <c r="N3" s="114" t="s">
        <v>97</v>
      </c>
      <c r="O3" s="114" t="s">
        <v>98</v>
      </c>
      <c r="P3" s="114" t="s">
        <v>99</v>
      </c>
      <c r="Q3" s="114" t="s">
        <v>100</v>
      </c>
      <c r="R3" s="114" t="s">
        <v>101</v>
      </c>
      <c r="S3" s="114" t="s">
        <v>102</v>
      </c>
      <c r="T3" s="114" t="s">
        <v>103</v>
      </c>
      <c r="U3" s="114" t="s">
        <v>104</v>
      </c>
    </row>
    <row r="4" spans="1:22" ht="16.5" thickBot="1">
      <c r="A4" s="121"/>
      <c r="B4" s="431" t="s">
        <v>108</v>
      </c>
      <c r="C4" s="432"/>
      <c r="D4" s="432"/>
      <c r="E4" s="432"/>
      <c r="F4" s="432"/>
      <c r="G4" s="433"/>
      <c r="H4" s="431" t="s">
        <v>69</v>
      </c>
      <c r="I4" s="432"/>
      <c r="J4" s="432"/>
      <c r="K4" s="432"/>
      <c r="L4" s="432"/>
      <c r="M4" s="433"/>
      <c r="N4" s="434" t="s">
        <v>36</v>
      </c>
      <c r="O4" s="435"/>
      <c r="P4" s="435"/>
      <c r="Q4" s="435"/>
      <c r="R4" s="435"/>
      <c r="S4" s="436" t="s">
        <v>59</v>
      </c>
      <c r="T4" s="437"/>
      <c r="U4" s="438"/>
      <c r="V4" s="306"/>
    </row>
    <row r="5" spans="1:22" s="125" customFormat="1" ht="115.5" thickBot="1">
      <c r="A5" s="122"/>
      <c r="B5" s="156" t="s">
        <v>106</v>
      </c>
      <c r="C5" s="123" t="s">
        <v>65</v>
      </c>
      <c r="D5" s="123" t="s">
        <v>89</v>
      </c>
      <c r="E5" s="123" t="s">
        <v>90</v>
      </c>
      <c r="F5" s="124" t="s">
        <v>146</v>
      </c>
      <c r="G5" s="151" t="s">
        <v>81</v>
      </c>
      <c r="H5" s="123" t="s">
        <v>105</v>
      </c>
      <c r="I5" s="123" t="s">
        <v>65</v>
      </c>
      <c r="J5" s="123" t="s">
        <v>89</v>
      </c>
      <c r="K5" s="123" t="s">
        <v>83</v>
      </c>
      <c r="L5" s="124" t="s">
        <v>146</v>
      </c>
      <c r="M5" s="151" t="s">
        <v>81</v>
      </c>
      <c r="N5" s="124" t="s">
        <v>37</v>
      </c>
      <c r="O5" s="123" t="s">
        <v>89</v>
      </c>
      <c r="P5" s="123" t="s">
        <v>84</v>
      </c>
      <c r="Q5" s="124" t="s">
        <v>146</v>
      </c>
      <c r="R5" s="123" t="s">
        <v>81</v>
      </c>
      <c r="S5" s="311" t="s">
        <v>182</v>
      </c>
      <c r="T5" s="124" t="s">
        <v>183</v>
      </c>
      <c r="U5" s="312" t="s">
        <v>184</v>
      </c>
      <c r="V5" s="307"/>
    </row>
    <row r="6" spans="1:22" s="176" customFormat="1" ht="22.5">
      <c r="A6" s="167"/>
      <c r="B6" s="168"/>
      <c r="C6" s="168"/>
      <c r="D6" s="168"/>
      <c r="E6" s="169" t="s">
        <v>109</v>
      </c>
      <c r="F6" s="168"/>
      <c r="G6" s="169" t="s">
        <v>110</v>
      </c>
      <c r="H6" s="170"/>
      <c r="I6" s="171"/>
      <c r="J6" s="171"/>
      <c r="K6" s="172" t="s">
        <v>111</v>
      </c>
      <c r="L6" s="168"/>
      <c r="M6" s="173" t="s">
        <v>190</v>
      </c>
      <c r="N6" s="174" t="s">
        <v>112</v>
      </c>
      <c r="O6" s="174" t="s">
        <v>113</v>
      </c>
      <c r="P6" s="174" t="s">
        <v>116</v>
      </c>
      <c r="Q6" s="174" t="s">
        <v>114</v>
      </c>
      <c r="R6" s="174" t="s">
        <v>115</v>
      </c>
      <c r="S6" s="313" t="s">
        <v>118</v>
      </c>
      <c r="T6" s="175" t="s">
        <v>117</v>
      </c>
      <c r="U6" s="314" t="s">
        <v>119</v>
      </c>
      <c r="V6" s="308"/>
    </row>
    <row r="7" spans="1:22" s="129" customFormat="1" ht="6" customHeight="1">
      <c r="A7" s="126"/>
      <c r="B7" s="127"/>
      <c r="C7" s="127"/>
      <c r="D7" s="127"/>
      <c r="E7" s="127"/>
      <c r="F7" s="127"/>
      <c r="G7" s="127"/>
      <c r="H7" s="128"/>
      <c r="I7" s="127"/>
      <c r="J7" s="127"/>
      <c r="K7" s="127"/>
      <c r="L7" s="127"/>
      <c r="M7" s="157"/>
      <c r="N7" s="127"/>
      <c r="O7" s="127"/>
      <c r="P7" s="127"/>
      <c r="Q7" s="127"/>
      <c r="R7" s="127"/>
      <c r="S7" s="309"/>
      <c r="T7" s="127"/>
      <c r="U7" s="315"/>
      <c r="V7" s="309"/>
    </row>
    <row r="8" spans="1:22" ht="12.75" customHeight="1">
      <c r="A8" s="130" t="s">
        <v>0</v>
      </c>
      <c r="B8" s="177">
        <v>6861</v>
      </c>
      <c r="C8" s="131">
        <v>-341000</v>
      </c>
      <c r="D8" s="131">
        <v>247000</v>
      </c>
      <c r="E8" s="132">
        <f>-ROUND((D8/3)/1000,0)*1000</f>
        <v>-82000</v>
      </c>
      <c r="F8" s="131">
        <v>3603000</v>
      </c>
      <c r="G8" s="132">
        <f>-ROUND((F8/3)/1000,0)*1000</f>
        <v>-1201000</v>
      </c>
      <c r="H8" s="135">
        <v>117.344444</v>
      </c>
      <c r="I8" s="131">
        <v>1000</v>
      </c>
      <c r="J8" s="131">
        <v>0</v>
      </c>
      <c r="K8" s="132">
        <f>-ROUND((J8/3)/1000,0)*1000</f>
        <v>0</v>
      </c>
      <c r="L8" s="131">
        <v>60000</v>
      </c>
      <c r="M8" s="158">
        <f>-ROUND(L8/3,-3)</f>
        <v>-20000</v>
      </c>
      <c r="N8" s="131">
        <f aca="true" t="shared" si="0" ref="N8:R9">C8+I8</f>
        <v>-340000</v>
      </c>
      <c r="O8" s="131">
        <f t="shared" si="0"/>
        <v>247000</v>
      </c>
      <c r="P8" s="131">
        <f t="shared" si="0"/>
        <v>-82000</v>
      </c>
      <c r="Q8" s="131">
        <f t="shared" si="0"/>
        <v>3663000</v>
      </c>
      <c r="R8" s="131">
        <f>G8+M8-1000</f>
        <v>-1222000</v>
      </c>
      <c r="S8" s="316">
        <f>N8+O8+Q8</f>
        <v>3570000</v>
      </c>
      <c r="T8" s="131">
        <f>P8+R8</f>
        <v>-1304000</v>
      </c>
      <c r="U8" s="317">
        <f>S8+T8</f>
        <v>2266000</v>
      </c>
      <c r="V8" s="306"/>
    </row>
    <row r="9" spans="1:22" ht="12.75" customHeight="1">
      <c r="A9" s="133" t="s">
        <v>1</v>
      </c>
      <c r="B9" s="177">
        <v>3250</v>
      </c>
      <c r="C9" s="134">
        <v>9000</v>
      </c>
      <c r="D9" s="134">
        <v>0</v>
      </c>
      <c r="E9" s="134">
        <f aca="true" t="shared" si="1" ref="E9:G30">-ROUND((D9/3)/1000,0)*1000</f>
        <v>0</v>
      </c>
      <c r="F9" s="134">
        <v>1805000</v>
      </c>
      <c r="G9" s="134">
        <f t="shared" si="1"/>
        <v>-602000</v>
      </c>
      <c r="H9" s="135">
        <v>14.1</v>
      </c>
      <c r="I9" s="134">
        <v>39000</v>
      </c>
      <c r="J9" s="134">
        <v>0</v>
      </c>
      <c r="K9" s="134">
        <f aca="true" t="shared" si="2" ref="K9:K30">-ROUND((J9/3)/1000,0)*1000</f>
        <v>0</v>
      </c>
      <c r="L9" s="134">
        <v>10000</v>
      </c>
      <c r="M9" s="159">
        <f aca="true" t="shared" si="3" ref="M9:M30">-ROUND(L9/3,-3)</f>
        <v>-3000</v>
      </c>
      <c r="N9" s="134">
        <f t="shared" si="0"/>
        <v>48000</v>
      </c>
      <c r="O9" s="134">
        <f t="shared" si="0"/>
        <v>0</v>
      </c>
      <c r="P9" s="134">
        <f t="shared" si="0"/>
        <v>0</v>
      </c>
      <c r="Q9" s="134">
        <f t="shared" si="0"/>
        <v>1815000</v>
      </c>
      <c r="R9" s="134">
        <f t="shared" si="0"/>
        <v>-605000</v>
      </c>
      <c r="S9" s="318">
        <f>N9+O9+Q9</f>
        <v>1863000</v>
      </c>
      <c r="T9" s="134">
        <f>P9+R9</f>
        <v>-605000</v>
      </c>
      <c r="U9" s="319">
        <f>S9+T9</f>
        <v>1258000</v>
      </c>
      <c r="V9" s="306"/>
    </row>
    <row r="10" spans="1:22" ht="12.75" customHeight="1">
      <c r="A10" s="133" t="s">
        <v>2</v>
      </c>
      <c r="B10" s="177">
        <v>14193</v>
      </c>
      <c r="C10" s="134">
        <v>-402000</v>
      </c>
      <c r="D10" s="134">
        <v>0</v>
      </c>
      <c r="E10" s="134">
        <f t="shared" si="1"/>
        <v>0</v>
      </c>
      <c r="F10" s="134">
        <v>7287000</v>
      </c>
      <c r="G10" s="134">
        <f t="shared" si="1"/>
        <v>-2429000</v>
      </c>
      <c r="H10" s="135">
        <v>537.025</v>
      </c>
      <c r="I10" s="134">
        <v>251000</v>
      </c>
      <c r="J10" s="134">
        <v>0</v>
      </c>
      <c r="K10" s="134">
        <f t="shared" si="2"/>
        <v>0</v>
      </c>
      <c r="L10" s="134">
        <v>296000</v>
      </c>
      <c r="M10" s="159">
        <f t="shared" si="3"/>
        <v>-99000</v>
      </c>
      <c r="N10" s="134">
        <f aca="true" t="shared" si="4" ref="N10:N30">C10+I10</f>
        <v>-151000</v>
      </c>
      <c r="O10" s="134">
        <f aca="true" t="shared" si="5" ref="O10:O30">D10+J10</f>
        <v>0</v>
      </c>
      <c r="P10" s="134">
        <f aca="true" t="shared" si="6" ref="P10:P30">E10+K10</f>
        <v>0</v>
      </c>
      <c r="Q10" s="134">
        <f aca="true" t="shared" si="7" ref="Q10:Q30">F10+L10</f>
        <v>7583000</v>
      </c>
      <c r="R10" s="134">
        <f aca="true" t="shared" si="8" ref="R10:R30">G10+M10</f>
        <v>-2528000</v>
      </c>
      <c r="S10" s="318">
        <f aca="true" t="shared" si="9" ref="S10:S30">N10+O10+Q10</f>
        <v>7432000</v>
      </c>
      <c r="T10" s="134">
        <f aca="true" t="shared" si="10" ref="T10:T30">P10+R10</f>
        <v>-2528000</v>
      </c>
      <c r="U10" s="319">
        <f aca="true" t="shared" si="11" ref="U10:U30">S10+T10</f>
        <v>4904000</v>
      </c>
      <c r="V10" s="306"/>
    </row>
    <row r="11" spans="1:22" ht="12.75" customHeight="1">
      <c r="A11" s="133" t="s">
        <v>3</v>
      </c>
      <c r="B11" s="177">
        <v>9425</v>
      </c>
      <c r="C11" s="134">
        <v>-812000</v>
      </c>
      <c r="D11" s="134">
        <v>0</v>
      </c>
      <c r="E11" s="134">
        <f t="shared" si="1"/>
        <v>0</v>
      </c>
      <c r="F11" s="134">
        <v>5804000</v>
      </c>
      <c r="G11" s="134">
        <f t="shared" si="1"/>
        <v>-1935000</v>
      </c>
      <c r="H11" s="135">
        <v>86.808334</v>
      </c>
      <c r="I11" s="134">
        <v>-108000</v>
      </c>
      <c r="J11" s="134">
        <v>0</v>
      </c>
      <c r="K11" s="134">
        <f t="shared" si="2"/>
        <v>0</v>
      </c>
      <c r="L11" s="134">
        <v>57000</v>
      </c>
      <c r="M11" s="159">
        <f t="shared" si="3"/>
        <v>-19000</v>
      </c>
      <c r="N11" s="134">
        <f t="shared" si="4"/>
        <v>-920000</v>
      </c>
      <c r="O11" s="134">
        <f t="shared" si="5"/>
        <v>0</v>
      </c>
      <c r="P11" s="134">
        <f t="shared" si="6"/>
        <v>0</v>
      </c>
      <c r="Q11" s="134">
        <f t="shared" si="7"/>
        <v>5861000</v>
      </c>
      <c r="R11" s="134">
        <f t="shared" si="8"/>
        <v>-1954000</v>
      </c>
      <c r="S11" s="318">
        <f t="shared" si="9"/>
        <v>4941000</v>
      </c>
      <c r="T11" s="134">
        <f t="shared" si="10"/>
        <v>-1954000</v>
      </c>
      <c r="U11" s="319">
        <f t="shared" si="11"/>
        <v>2987000</v>
      </c>
      <c r="V11" s="306"/>
    </row>
    <row r="12" spans="1:22" ht="12.75" customHeight="1">
      <c r="A12" s="133" t="s">
        <v>28</v>
      </c>
      <c r="B12" s="177">
        <v>11300</v>
      </c>
      <c r="C12" s="134">
        <v>-435000</v>
      </c>
      <c r="D12" s="134">
        <v>295000</v>
      </c>
      <c r="E12" s="134">
        <f t="shared" si="1"/>
        <v>-98000</v>
      </c>
      <c r="F12" s="134">
        <v>6151000</v>
      </c>
      <c r="G12" s="134">
        <f t="shared" si="1"/>
        <v>-2050000</v>
      </c>
      <c r="H12" s="135">
        <v>1004.388889</v>
      </c>
      <c r="I12" s="134">
        <v>-971000</v>
      </c>
      <c r="J12" s="134">
        <v>5000</v>
      </c>
      <c r="K12" s="134">
        <f t="shared" si="2"/>
        <v>-2000</v>
      </c>
      <c r="L12" s="134">
        <v>570000</v>
      </c>
      <c r="M12" s="159">
        <f t="shared" si="3"/>
        <v>-190000</v>
      </c>
      <c r="N12" s="134">
        <f t="shared" si="4"/>
        <v>-1406000</v>
      </c>
      <c r="O12" s="134">
        <f t="shared" si="5"/>
        <v>300000</v>
      </c>
      <c r="P12" s="134">
        <f t="shared" si="6"/>
        <v>-100000</v>
      </c>
      <c r="Q12" s="134">
        <f t="shared" si="7"/>
        <v>6721000</v>
      </c>
      <c r="R12" s="134">
        <f t="shared" si="8"/>
        <v>-2240000</v>
      </c>
      <c r="S12" s="318">
        <f t="shared" si="9"/>
        <v>5615000</v>
      </c>
      <c r="T12" s="134">
        <f t="shared" si="10"/>
        <v>-2340000</v>
      </c>
      <c r="U12" s="319">
        <f t="shared" si="11"/>
        <v>3275000</v>
      </c>
      <c r="V12" s="306"/>
    </row>
    <row r="13" spans="1:22" ht="12.75" customHeight="1">
      <c r="A13" s="133" t="s">
        <v>4</v>
      </c>
      <c r="B13" s="177">
        <v>17567</v>
      </c>
      <c r="C13" s="134">
        <v>-492000</v>
      </c>
      <c r="D13" s="134">
        <v>0</v>
      </c>
      <c r="E13" s="134">
        <f t="shared" si="1"/>
        <v>0</v>
      </c>
      <c r="F13" s="134">
        <v>9562000</v>
      </c>
      <c r="G13" s="134">
        <f t="shared" si="1"/>
        <v>-3187000</v>
      </c>
      <c r="H13" s="135">
        <v>406.716666</v>
      </c>
      <c r="I13" s="134">
        <v>-141000</v>
      </c>
      <c r="J13" s="134">
        <v>0</v>
      </c>
      <c r="K13" s="134">
        <f t="shared" si="2"/>
        <v>0</v>
      </c>
      <c r="L13" s="134">
        <v>244000</v>
      </c>
      <c r="M13" s="159">
        <f t="shared" si="3"/>
        <v>-81000</v>
      </c>
      <c r="N13" s="134">
        <f t="shared" si="4"/>
        <v>-633000</v>
      </c>
      <c r="O13" s="134">
        <f t="shared" si="5"/>
        <v>0</v>
      </c>
      <c r="P13" s="134">
        <f t="shared" si="6"/>
        <v>0</v>
      </c>
      <c r="Q13" s="134">
        <f t="shared" si="7"/>
        <v>9806000</v>
      </c>
      <c r="R13" s="134">
        <f t="shared" si="8"/>
        <v>-3268000</v>
      </c>
      <c r="S13" s="318">
        <f t="shared" si="9"/>
        <v>9173000</v>
      </c>
      <c r="T13" s="134">
        <f t="shared" si="10"/>
        <v>-3268000</v>
      </c>
      <c r="U13" s="319">
        <f t="shared" si="11"/>
        <v>5905000</v>
      </c>
      <c r="V13" s="306"/>
    </row>
    <row r="14" spans="1:22" ht="12.75" customHeight="1">
      <c r="A14" s="133" t="s">
        <v>5</v>
      </c>
      <c r="B14" s="177">
        <v>26875</v>
      </c>
      <c r="C14" s="134">
        <v>-1648000</v>
      </c>
      <c r="D14" s="134">
        <v>0</v>
      </c>
      <c r="E14" s="134">
        <f t="shared" si="1"/>
        <v>0</v>
      </c>
      <c r="F14" s="134">
        <v>15958000</v>
      </c>
      <c r="G14" s="134">
        <f t="shared" si="1"/>
        <v>-5319000</v>
      </c>
      <c r="H14" s="135">
        <v>801.75</v>
      </c>
      <c r="I14" s="134">
        <v>-35000</v>
      </c>
      <c r="J14" s="134">
        <v>0</v>
      </c>
      <c r="K14" s="134">
        <f t="shared" si="2"/>
        <v>0</v>
      </c>
      <c r="L14" s="134">
        <v>525000</v>
      </c>
      <c r="M14" s="159">
        <f t="shared" si="3"/>
        <v>-175000</v>
      </c>
      <c r="N14" s="134">
        <f t="shared" si="4"/>
        <v>-1683000</v>
      </c>
      <c r="O14" s="134">
        <f t="shared" si="5"/>
        <v>0</v>
      </c>
      <c r="P14" s="134">
        <f t="shared" si="6"/>
        <v>0</v>
      </c>
      <c r="Q14" s="134">
        <f t="shared" si="7"/>
        <v>16483000</v>
      </c>
      <c r="R14" s="134">
        <f t="shared" si="8"/>
        <v>-5494000</v>
      </c>
      <c r="S14" s="318">
        <f t="shared" si="9"/>
        <v>14800000</v>
      </c>
      <c r="T14" s="134">
        <f t="shared" si="10"/>
        <v>-5494000</v>
      </c>
      <c r="U14" s="319">
        <f t="shared" si="11"/>
        <v>9306000</v>
      </c>
      <c r="V14" s="306"/>
    </row>
    <row r="15" spans="1:22" ht="12.75" customHeight="1">
      <c r="A15" s="133" t="s">
        <v>6</v>
      </c>
      <c r="B15" s="177">
        <v>7000</v>
      </c>
      <c r="C15" s="134">
        <v>388000</v>
      </c>
      <c r="D15" s="134">
        <v>0</v>
      </c>
      <c r="E15" s="134">
        <f t="shared" si="1"/>
        <v>0</v>
      </c>
      <c r="F15" s="134">
        <v>3566000</v>
      </c>
      <c r="G15" s="134">
        <f t="shared" si="1"/>
        <v>-1189000</v>
      </c>
      <c r="H15" s="135">
        <v>215.683334</v>
      </c>
      <c r="I15" s="134">
        <v>-170000</v>
      </c>
      <c r="J15" s="134">
        <v>0</v>
      </c>
      <c r="K15" s="134">
        <f t="shared" si="2"/>
        <v>0</v>
      </c>
      <c r="L15" s="134">
        <v>115000</v>
      </c>
      <c r="M15" s="159">
        <f t="shared" si="3"/>
        <v>-38000</v>
      </c>
      <c r="N15" s="134">
        <f t="shared" si="4"/>
        <v>218000</v>
      </c>
      <c r="O15" s="134">
        <f t="shared" si="5"/>
        <v>0</v>
      </c>
      <c r="P15" s="134">
        <f t="shared" si="6"/>
        <v>0</v>
      </c>
      <c r="Q15" s="134">
        <f t="shared" si="7"/>
        <v>3681000</v>
      </c>
      <c r="R15" s="134">
        <f t="shared" si="8"/>
        <v>-1227000</v>
      </c>
      <c r="S15" s="318">
        <f t="shared" si="9"/>
        <v>3899000</v>
      </c>
      <c r="T15" s="134">
        <f t="shared" si="10"/>
        <v>-1227000</v>
      </c>
      <c r="U15" s="319">
        <f t="shared" si="11"/>
        <v>2672000</v>
      </c>
      <c r="V15" s="306"/>
    </row>
    <row r="16" spans="1:22" ht="12.75" customHeight="1">
      <c r="A16" s="133" t="s">
        <v>7</v>
      </c>
      <c r="B16" s="177">
        <v>26875</v>
      </c>
      <c r="C16" s="134">
        <v>-819000</v>
      </c>
      <c r="D16" s="134">
        <v>0</v>
      </c>
      <c r="E16" s="134">
        <f t="shared" si="1"/>
        <v>0</v>
      </c>
      <c r="F16" s="134">
        <v>15583000</v>
      </c>
      <c r="G16" s="134">
        <f t="shared" si="1"/>
        <v>-5194000</v>
      </c>
      <c r="H16" s="135">
        <v>1045.075</v>
      </c>
      <c r="I16" s="134">
        <v>-65000</v>
      </c>
      <c r="J16" s="134">
        <v>0</v>
      </c>
      <c r="K16" s="134">
        <f t="shared" si="2"/>
        <v>0</v>
      </c>
      <c r="L16" s="134">
        <v>646000</v>
      </c>
      <c r="M16" s="159">
        <f t="shared" si="3"/>
        <v>-215000</v>
      </c>
      <c r="N16" s="134">
        <f t="shared" si="4"/>
        <v>-884000</v>
      </c>
      <c r="O16" s="134">
        <f t="shared" si="5"/>
        <v>0</v>
      </c>
      <c r="P16" s="134">
        <f t="shared" si="6"/>
        <v>0</v>
      </c>
      <c r="Q16" s="134">
        <f t="shared" si="7"/>
        <v>16229000</v>
      </c>
      <c r="R16" s="134">
        <f t="shared" si="8"/>
        <v>-5409000</v>
      </c>
      <c r="S16" s="318">
        <f t="shared" si="9"/>
        <v>15345000</v>
      </c>
      <c r="T16" s="134">
        <f t="shared" si="10"/>
        <v>-5409000</v>
      </c>
      <c r="U16" s="319">
        <f t="shared" si="11"/>
        <v>9936000</v>
      </c>
      <c r="V16" s="306"/>
    </row>
    <row r="17" spans="1:22" s="137" customFormat="1" ht="12.75" customHeight="1">
      <c r="A17" s="281" t="s">
        <v>8</v>
      </c>
      <c r="B17" s="282">
        <v>16350</v>
      </c>
      <c r="C17" s="283">
        <v>-239000</v>
      </c>
      <c r="D17" s="283">
        <v>123000</v>
      </c>
      <c r="E17" s="283">
        <f t="shared" si="1"/>
        <v>-41000</v>
      </c>
      <c r="F17" s="283">
        <v>9702000</v>
      </c>
      <c r="G17" s="283">
        <f>-ROUND((F17/3)/1000,0)*1000</f>
        <v>-3234000</v>
      </c>
      <c r="H17" s="284">
        <v>540.186111</v>
      </c>
      <c r="I17" s="283">
        <v>-1856000</v>
      </c>
      <c r="J17" s="283">
        <v>7000</v>
      </c>
      <c r="K17" s="283">
        <f t="shared" si="2"/>
        <v>-2000</v>
      </c>
      <c r="L17" s="283">
        <v>358000</v>
      </c>
      <c r="M17" s="285">
        <f>-ROUND(L17/3,-3)</f>
        <v>-119000</v>
      </c>
      <c r="N17" s="283">
        <f t="shared" si="4"/>
        <v>-2095000</v>
      </c>
      <c r="O17" s="283">
        <f t="shared" si="5"/>
        <v>130000</v>
      </c>
      <c r="P17" s="283">
        <f t="shared" si="6"/>
        <v>-43000</v>
      </c>
      <c r="Q17" s="283">
        <f t="shared" si="7"/>
        <v>10060000</v>
      </c>
      <c r="R17" s="283">
        <f t="shared" si="8"/>
        <v>-3353000</v>
      </c>
      <c r="S17" s="320">
        <f t="shared" si="9"/>
        <v>8095000</v>
      </c>
      <c r="T17" s="283">
        <f t="shared" si="10"/>
        <v>-3396000</v>
      </c>
      <c r="U17" s="321">
        <f t="shared" si="11"/>
        <v>4699000</v>
      </c>
      <c r="V17" s="310"/>
    </row>
    <row r="18" spans="1:22" s="137" customFormat="1" ht="12.75" customHeight="1">
      <c r="A18" s="281" t="s">
        <v>9</v>
      </c>
      <c r="B18" s="282">
        <v>1025</v>
      </c>
      <c r="C18" s="283">
        <v>29000</v>
      </c>
      <c r="D18" s="283">
        <v>0</v>
      </c>
      <c r="E18" s="283">
        <f t="shared" si="1"/>
        <v>0</v>
      </c>
      <c r="F18" s="283">
        <v>385000</v>
      </c>
      <c r="G18" s="283">
        <f t="shared" si="1"/>
        <v>-128000</v>
      </c>
      <c r="H18" s="284">
        <v>27.866667</v>
      </c>
      <c r="I18" s="283">
        <v>-4000</v>
      </c>
      <c r="J18" s="283">
        <v>0</v>
      </c>
      <c r="K18" s="283">
        <f t="shared" si="2"/>
        <v>0</v>
      </c>
      <c r="L18" s="283">
        <v>11000</v>
      </c>
      <c r="M18" s="285">
        <f t="shared" si="3"/>
        <v>-4000</v>
      </c>
      <c r="N18" s="283">
        <f t="shared" si="4"/>
        <v>25000</v>
      </c>
      <c r="O18" s="283">
        <f t="shared" si="5"/>
        <v>0</v>
      </c>
      <c r="P18" s="283">
        <f t="shared" si="6"/>
        <v>0</v>
      </c>
      <c r="Q18" s="283">
        <f t="shared" si="7"/>
        <v>396000</v>
      </c>
      <c r="R18" s="283">
        <f t="shared" si="8"/>
        <v>-132000</v>
      </c>
      <c r="S18" s="320">
        <f t="shared" si="9"/>
        <v>421000</v>
      </c>
      <c r="T18" s="283">
        <f t="shared" si="10"/>
        <v>-132000</v>
      </c>
      <c r="U18" s="321">
        <f t="shared" si="11"/>
        <v>289000</v>
      </c>
      <c r="V18" s="310"/>
    </row>
    <row r="19" spans="1:22" s="137" customFormat="1" ht="12.75" customHeight="1">
      <c r="A19" s="281" t="s">
        <v>10</v>
      </c>
      <c r="B19" s="282">
        <v>4500</v>
      </c>
      <c r="C19" s="283">
        <v>-620000</v>
      </c>
      <c r="D19" s="283">
        <v>0</v>
      </c>
      <c r="E19" s="283">
        <f t="shared" si="1"/>
        <v>0</v>
      </c>
      <c r="F19" s="283">
        <v>2176000</v>
      </c>
      <c r="G19" s="283">
        <f t="shared" si="1"/>
        <v>-725000</v>
      </c>
      <c r="H19" s="284">
        <v>71.675</v>
      </c>
      <c r="I19" s="283">
        <v>-78000</v>
      </c>
      <c r="J19" s="283">
        <v>0</v>
      </c>
      <c r="K19" s="283">
        <f t="shared" si="2"/>
        <v>0</v>
      </c>
      <c r="L19" s="283">
        <v>36000</v>
      </c>
      <c r="M19" s="285">
        <f t="shared" si="3"/>
        <v>-12000</v>
      </c>
      <c r="N19" s="283">
        <f t="shared" si="4"/>
        <v>-698000</v>
      </c>
      <c r="O19" s="283">
        <f t="shared" si="5"/>
        <v>0</v>
      </c>
      <c r="P19" s="283">
        <f t="shared" si="6"/>
        <v>0</v>
      </c>
      <c r="Q19" s="283">
        <f t="shared" si="7"/>
        <v>2212000</v>
      </c>
      <c r="R19" s="283">
        <f t="shared" si="8"/>
        <v>-737000</v>
      </c>
      <c r="S19" s="320">
        <f t="shared" si="9"/>
        <v>1514000</v>
      </c>
      <c r="T19" s="283">
        <f t="shared" si="10"/>
        <v>-737000</v>
      </c>
      <c r="U19" s="321">
        <f t="shared" si="11"/>
        <v>777000</v>
      </c>
      <c r="V19" s="310"/>
    </row>
    <row r="20" spans="1:22" s="137" customFormat="1" ht="12.75" customHeight="1">
      <c r="A20" s="281" t="s">
        <v>11</v>
      </c>
      <c r="B20" s="282">
        <v>25270</v>
      </c>
      <c r="C20" s="283">
        <v>-856000</v>
      </c>
      <c r="D20" s="283">
        <v>0</v>
      </c>
      <c r="E20" s="283">
        <f t="shared" si="1"/>
        <v>0</v>
      </c>
      <c r="F20" s="283">
        <v>15116000</v>
      </c>
      <c r="G20" s="283">
        <f t="shared" si="1"/>
        <v>-5039000</v>
      </c>
      <c r="H20" s="284">
        <v>1482.1</v>
      </c>
      <c r="I20" s="283">
        <v>252000</v>
      </c>
      <c r="J20" s="283">
        <v>0</v>
      </c>
      <c r="K20" s="283">
        <f t="shared" si="2"/>
        <v>0</v>
      </c>
      <c r="L20" s="283">
        <v>934000</v>
      </c>
      <c r="M20" s="285">
        <f t="shared" si="3"/>
        <v>-311000</v>
      </c>
      <c r="N20" s="283">
        <f t="shared" si="4"/>
        <v>-604000</v>
      </c>
      <c r="O20" s="283">
        <f t="shared" si="5"/>
        <v>0</v>
      </c>
      <c r="P20" s="283">
        <f t="shared" si="6"/>
        <v>0</v>
      </c>
      <c r="Q20" s="283">
        <f t="shared" si="7"/>
        <v>16050000</v>
      </c>
      <c r="R20" s="283">
        <f t="shared" si="8"/>
        <v>-5350000</v>
      </c>
      <c r="S20" s="320">
        <f t="shared" si="9"/>
        <v>15446000</v>
      </c>
      <c r="T20" s="283">
        <f t="shared" si="10"/>
        <v>-5350000</v>
      </c>
      <c r="U20" s="321">
        <f t="shared" si="11"/>
        <v>10096000</v>
      </c>
      <c r="V20" s="310"/>
    </row>
    <row r="21" spans="1:22" s="137" customFormat="1" ht="12.75" customHeight="1">
      <c r="A21" s="281" t="s">
        <v>12</v>
      </c>
      <c r="B21" s="282">
        <v>17150</v>
      </c>
      <c r="C21" s="283">
        <v>-3365000</v>
      </c>
      <c r="D21" s="283">
        <v>0</v>
      </c>
      <c r="E21" s="283">
        <f t="shared" si="1"/>
        <v>0</v>
      </c>
      <c r="F21" s="283">
        <v>9586000</v>
      </c>
      <c r="G21" s="283">
        <f t="shared" si="1"/>
        <v>-3195000</v>
      </c>
      <c r="H21" s="284">
        <v>520.355555</v>
      </c>
      <c r="I21" s="283">
        <v>-501000</v>
      </c>
      <c r="J21" s="283">
        <v>0</v>
      </c>
      <c r="K21" s="283">
        <f t="shared" si="2"/>
        <v>0</v>
      </c>
      <c r="L21" s="283">
        <v>315000</v>
      </c>
      <c r="M21" s="285">
        <f t="shared" si="3"/>
        <v>-105000</v>
      </c>
      <c r="N21" s="283">
        <f t="shared" si="4"/>
        <v>-3866000</v>
      </c>
      <c r="O21" s="283">
        <f t="shared" si="5"/>
        <v>0</v>
      </c>
      <c r="P21" s="283">
        <f t="shared" si="6"/>
        <v>0</v>
      </c>
      <c r="Q21" s="283">
        <f t="shared" si="7"/>
        <v>9901000</v>
      </c>
      <c r="R21" s="283">
        <f t="shared" si="8"/>
        <v>-3300000</v>
      </c>
      <c r="S21" s="320">
        <f t="shared" si="9"/>
        <v>6035000</v>
      </c>
      <c r="T21" s="283">
        <f t="shared" si="10"/>
        <v>-3300000</v>
      </c>
      <c r="U21" s="321">
        <f t="shared" si="11"/>
        <v>2735000</v>
      </c>
      <c r="V21" s="310"/>
    </row>
    <row r="22" spans="1:22" s="137" customFormat="1" ht="12.75" customHeight="1">
      <c r="A22" s="281" t="s">
        <v>13</v>
      </c>
      <c r="B22" s="282">
        <v>21625</v>
      </c>
      <c r="C22" s="283">
        <v>2753000</v>
      </c>
      <c r="D22" s="283">
        <v>0</v>
      </c>
      <c r="E22" s="283">
        <f t="shared" si="1"/>
        <v>0</v>
      </c>
      <c r="F22" s="283">
        <v>12369000</v>
      </c>
      <c r="G22" s="283">
        <f t="shared" si="1"/>
        <v>-4123000</v>
      </c>
      <c r="H22" s="284">
        <v>343.091666</v>
      </c>
      <c r="I22" s="283">
        <v>-892000</v>
      </c>
      <c r="J22" s="283">
        <v>0</v>
      </c>
      <c r="K22" s="283">
        <f t="shared" si="2"/>
        <v>0</v>
      </c>
      <c r="L22" s="283">
        <v>244000</v>
      </c>
      <c r="M22" s="285">
        <f t="shared" si="3"/>
        <v>-81000</v>
      </c>
      <c r="N22" s="283">
        <f t="shared" si="4"/>
        <v>1861000</v>
      </c>
      <c r="O22" s="283">
        <f t="shared" si="5"/>
        <v>0</v>
      </c>
      <c r="P22" s="283">
        <f t="shared" si="6"/>
        <v>0</v>
      </c>
      <c r="Q22" s="283">
        <f t="shared" si="7"/>
        <v>12613000</v>
      </c>
      <c r="R22" s="283">
        <f t="shared" si="8"/>
        <v>-4204000</v>
      </c>
      <c r="S22" s="320">
        <f t="shared" si="9"/>
        <v>14474000</v>
      </c>
      <c r="T22" s="283">
        <f t="shared" si="10"/>
        <v>-4204000</v>
      </c>
      <c r="U22" s="321">
        <f t="shared" si="11"/>
        <v>10270000</v>
      </c>
      <c r="V22" s="310"/>
    </row>
    <row r="23" spans="1:22" s="137" customFormat="1" ht="12.75" customHeight="1">
      <c r="A23" s="281" t="s">
        <v>14</v>
      </c>
      <c r="B23" s="282">
        <v>13850</v>
      </c>
      <c r="C23" s="283">
        <v>-1604000</v>
      </c>
      <c r="D23" s="283">
        <v>0</v>
      </c>
      <c r="E23" s="283">
        <f t="shared" si="1"/>
        <v>0</v>
      </c>
      <c r="F23" s="283">
        <v>7819000</v>
      </c>
      <c r="G23" s="283">
        <f t="shared" si="1"/>
        <v>-2606000</v>
      </c>
      <c r="H23" s="284">
        <v>533.827778</v>
      </c>
      <c r="I23" s="283">
        <v>139000</v>
      </c>
      <c r="J23" s="283">
        <v>0</v>
      </c>
      <c r="K23" s="283">
        <f t="shared" si="2"/>
        <v>0</v>
      </c>
      <c r="L23" s="283">
        <v>304000</v>
      </c>
      <c r="M23" s="285">
        <f t="shared" si="3"/>
        <v>-101000</v>
      </c>
      <c r="N23" s="283">
        <f t="shared" si="4"/>
        <v>-1465000</v>
      </c>
      <c r="O23" s="283">
        <f t="shared" si="5"/>
        <v>0</v>
      </c>
      <c r="P23" s="283">
        <f t="shared" si="6"/>
        <v>0</v>
      </c>
      <c r="Q23" s="283">
        <f t="shared" si="7"/>
        <v>8123000</v>
      </c>
      <c r="R23" s="283">
        <f t="shared" si="8"/>
        <v>-2707000</v>
      </c>
      <c r="S23" s="320">
        <f t="shared" si="9"/>
        <v>6658000</v>
      </c>
      <c r="T23" s="283">
        <f t="shared" si="10"/>
        <v>-2707000</v>
      </c>
      <c r="U23" s="321">
        <f t="shared" si="11"/>
        <v>3951000</v>
      </c>
      <c r="V23" s="310"/>
    </row>
    <row r="24" spans="1:22" s="137" customFormat="1" ht="12.75" customHeight="1">
      <c r="A24" s="281" t="s">
        <v>15</v>
      </c>
      <c r="B24" s="282">
        <v>25914</v>
      </c>
      <c r="C24" s="283">
        <v>-1358000</v>
      </c>
      <c r="D24" s="283">
        <v>2238000</v>
      </c>
      <c r="E24" s="283">
        <f t="shared" si="1"/>
        <v>-746000</v>
      </c>
      <c r="F24" s="283">
        <v>13144000</v>
      </c>
      <c r="G24" s="283">
        <f t="shared" si="1"/>
        <v>-4381000</v>
      </c>
      <c r="H24" s="284">
        <v>1651.833334</v>
      </c>
      <c r="I24" s="283">
        <v>-793000</v>
      </c>
      <c r="J24" s="283">
        <v>182000</v>
      </c>
      <c r="K24" s="283">
        <f t="shared" si="2"/>
        <v>-61000</v>
      </c>
      <c r="L24" s="283">
        <v>927000</v>
      </c>
      <c r="M24" s="285">
        <f t="shared" si="3"/>
        <v>-309000</v>
      </c>
      <c r="N24" s="283">
        <f t="shared" si="4"/>
        <v>-2151000</v>
      </c>
      <c r="O24" s="283">
        <f t="shared" si="5"/>
        <v>2420000</v>
      </c>
      <c r="P24" s="283">
        <f t="shared" si="6"/>
        <v>-807000</v>
      </c>
      <c r="Q24" s="283">
        <f t="shared" si="7"/>
        <v>14071000</v>
      </c>
      <c r="R24" s="283">
        <f t="shared" si="8"/>
        <v>-4690000</v>
      </c>
      <c r="S24" s="320">
        <f t="shared" si="9"/>
        <v>14340000</v>
      </c>
      <c r="T24" s="283">
        <f t="shared" si="10"/>
        <v>-5497000</v>
      </c>
      <c r="U24" s="321">
        <f t="shared" si="11"/>
        <v>8843000</v>
      </c>
      <c r="V24" s="310"/>
    </row>
    <row r="25" spans="1:22" s="137" customFormat="1" ht="12.75" customHeight="1">
      <c r="A25" s="281" t="s">
        <v>16</v>
      </c>
      <c r="B25" s="282">
        <v>22800</v>
      </c>
      <c r="C25" s="283">
        <v>-2663000</v>
      </c>
      <c r="D25" s="283">
        <v>0</v>
      </c>
      <c r="E25" s="283">
        <f t="shared" si="1"/>
        <v>0</v>
      </c>
      <c r="F25" s="283">
        <v>12726000</v>
      </c>
      <c r="G25" s="283">
        <f t="shared" si="1"/>
        <v>-4242000</v>
      </c>
      <c r="H25" s="284">
        <v>1573.833333</v>
      </c>
      <c r="I25" s="283">
        <v>-515000</v>
      </c>
      <c r="J25" s="283">
        <v>0</v>
      </c>
      <c r="K25" s="283">
        <f t="shared" si="2"/>
        <v>0</v>
      </c>
      <c r="L25" s="283">
        <v>948000</v>
      </c>
      <c r="M25" s="285">
        <f>-ROUND(L25/3,-3)</f>
        <v>-316000</v>
      </c>
      <c r="N25" s="283">
        <f t="shared" si="4"/>
        <v>-3178000</v>
      </c>
      <c r="O25" s="283">
        <f t="shared" si="5"/>
        <v>0</v>
      </c>
      <c r="P25" s="283">
        <f t="shared" si="6"/>
        <v>0</v>
      </c>
      <c r="Q25" s="283">
        <f t="shared" si="7"/>
        <v>13674000</v>
      </c>
      <c r="R25" s="283">
        <f t="shared" si="8"/>
        <v>-4558000</v>
      </c>
      <c r="S25" s="320">
        <f t="shared" si="9"/>
        <v>10496000</v>
      </c>
      <c r="T25" s="283">
        <f t="shared" si="10"/>
        <v>-4558000</v>
      </c>
      <c r="U25" s="321">
        <f t="shared" si="11"/>
        <v>5938000</v>
      </c>
      <c r="V25" s="310"/>
    </row>
    <row r="26" spans="1:22" s="137" customFormat="1" ht="12.75" customHeight="1">
      <c r="A26" s="281" t="s">
        <v>17</v>
      </c>
      <c r="B26" s="282">
        <v>21045</v>
      </c>
      <c r="C26" s="283">
        <v>-2285000</v>
      </c>
      <c r="D26" s="283">
        <v>0</v>
      </c>
      <c r="E26" s="283">
        <f t="shared" si="1"/>
        <v>0</v>
      </c>
      <c r="F26" s="283">
        <v>12529000</v>
      </c>
      <c r="G26" s="283">
        <f t="shared" si="1"/>
        <v>-4176000</v>
      </c>
      <c r="H26" s="284">
        <v>1230.829167</v>
      </c>
      <c r="I26" s="283">
        <v>-1487000</v>
      </c>
      <c r="J26" s="283">
        <v>0</v>
      </c>
      <c r="K26" s="283">
        <f t="shared" si="2"/>
        <v>0</v>
      </c>
      <c r="L26" s="283">
        <v>875000</v>
      </c>
      <c r="M26" s="285">
        <f>-ROUND(L26/3,-3)</f>
        <v>-292000</v>
      </c>
      <c r="N26" s="283">
        <f t="shared" si="4"/>
        <v>-3772000</v>
      </c>
      <c r="O26" s="283">
        <f t="shared" si="5"/>
        <v>0</v>
      </c>
      <c r="P26" s="283">
        <f t="shared" si="6"/>
        <v>0</v>
      </c>
      <c r="Q26" s="283">
        <f t="shared" si="7"/>
        <v>13404000</v>
      </c>
      <c r="R26" s="283">
        <f t="shared" si="8"/>
        <v>-4468000</v>
      </c>
      <c r="S26" s="320">
        <f t="shared" si="9"/>
        <v>9632000</v>
      </c>
      <c r="T26" s="283">
        <f t="shared" si="10"/>
        <v>-4468000</v>
      </c>
      <c r="U26" s="321">
        <f t="shared" si="11"/>
        <v>5164000</v>
      </c>
      <c r="V26" s="310"/>
    </row>
    <row r="27" spans="1:22" s="137" customFormat="1" ht="12.75" customHeight="1">
      <c r="A27" s="281" t="s">
        <v>18</v>
      </c>
      <c r="B27" s="282">
        <v>16000</v>
      </c>
      <c r="C27" s="283">
        <v>159000</v>
      </c>
      <c r="D27" s="283">
        <v>0</v>
      </c>
      <c r="E27" s="283">
        <f t="shared" si="1"/>
        <v>0</v>
      </c>
      <c r="F27" s="283">
        <v>8135000</v>
      </c>
      <c r="G27" s="283">
        <f>-ROUND((F27/3)/1000,0)*1000</f>
        <v>-2712000</v>
      </c>
      <c r="H27" s="284">
        <v>1034.555555</v>
      </c>
      <c r="I27" s="283">
        <v>1391000</v>
      </c>
      <c r="J27" s="283">
        <v>0</v>
      </c>
      <c r="K27" s="283">
        <f t="shared" si="2"/>
        <v>0</v>
      </c>
      <c r="L27" s="283">
        <v>538000</v>
      </c>
      <c r="M27" s="285">
        <f t="shared" si="3"/>
        <v>-179000</v>
      </c>
      <c r="N27" s="283">
        <f t="shared" si="4"/>
        <v>1550000</v>
      </c>
      <c r="O27" s="283">
        <f t="shared" si="5"/>
        <v>0</v>
      </c>
      <c r="P27" s="283">
        <f t="shared" si="6"/>
        <v>0</v>
      </c>
      <c r="Q27" s="283">
        <f t="shared" si="7"/>
        <v>8673000</v>
      </c>
      <c r="R27" s="283">
        <f t="shared" si="8"/>
        <v>-2891000</v>
      </c>
      <c r="S27" s="320">
        <f t="shared" si="9"/>
        <v>10223000</v>
      </c>
      <c r="T27" s="283">
        <f t="shared" si="10"/>
        <v>-2891000</v>
      </c>
      <c r="U27" s="321">
        <f t="shared" si="11"/>
        <v>7332000</v>
      </c>
      <c r="V27" s="310"/>
    </row>
    <row r="28" spans="1:22" s="137" customFormat="1" ht="12.75" customHeight="1">
      <c r="A28" s="281" t="s">
        <v>19</v>
      </c>
      <c r="B28" s="282">
        <v>7400</v>
      </c>
      <c r="C28" s="283">
        <v>-710000</v>
      </c>
      <c r="D28" s="283">
        <v>0</v>
      </c>
      <c r="E28" s="283">
        <f t="shared" si="1"/>
        <v>0</v>
      </c>
      <c r="F28" s="283">
        <v>4385000</v>
      </c>
      <c r="G28" s="283">
        <f t="shared" si="1"/>
        <v>-1462000</v>
      </c>
      <c r="H28" s="284">
        <v>127.366667</v>
      </c>
      <c r="I28" s="283">
        <v>124000</v>
      </c>
      <c r="J28" s="283">
        <v>0</v>
      </c>
      <c r="K28" s="283">
        <f t="shared" si="2"/>
        <v>0</v>
      </c>
      <c r="L28" s="283">
        <v>77000</v>
      </c>
      <c r="M28" s="285">
        <f t="shared" si="3"/>
        <v>-26000</v>
      </c>
      <c r="N28" s="283">
        <f t="shared" si="4"/>
        <v>-586000</v>
      </c>
      <c r="O28" s="283">
        <f t="shared" si="5"/>
        <v>0</v>
      </c>
      <c r="P28" s="283">
        <f t="shared" si="6"/>
        <v>0</v>
      </c>
      <c r="Q28" s="283">
        <f t="shared" si="7"/>
        <v>4462000</v>
      </c>
      <c r="R28" s="283">
        <f t="shared" si="8"/>
        <v>-1488000</v>
      </c>
      <c r="S28" s="320">
        <f t="shared" si="9"/>
        <v>3876000</v>
      </c>
      <c r="T28" s="283">
        <f t="shared" si="10"/>
        <v>-1488000</v>
      </c>
      <c r="U28" s="321">
        <f t="shared" si="11"/>
        <v>2388000</v>
      </c>
      <c r="V28" s="310"/>
    </row>
    <row r="29" spans="1:22" s="137" customFormat="1" ht="12.75" customHeight="1">
      <c r="A29" s="281" t="s">
        <v>20</v>
      </c>
      <c r="B29" s="282">
        <v>7450</v>
      </c>
      <c r="C29" s="283">
        <v>-890000</v>
      </c>
      <c r="D29" s="283">
        <v>0</v>
      </c>
      <c r="E29" s="283">
        <f t="shared" si="1"/>
        <v>0</v>
      </c>
      <c r="F29" s="283">
        <v>3929000</v>
      </c>
      <c r="G29" s="283">
        <f t="shared" si="1"/>
        <v>-1310000</v>
      </c>
      <c r="H29" s="284">
        <v>72.766667</v>
      </c>
      <c r="I29" s="283">
        <v>-63000</v>
      </c>
      <c r="J29" s="283">
        <v>0</v>
      </c>
      <c r="K29" s="283">
        <f t="shared" si="2"/>
        <v>0</v>
      </c>
      <c r="L29" s="283">
        <v>41000</v>
      </c>
      <c r="M29" s="285">
        <f t="shared" si="3"/>
        <v>-14000</v>
      </c>
      <c r="N29" s="283">
        <f t="shared" si="4"/>
        <v>-953000</v>
      </c>
      <c r="O29" s="283">
        <f t="shared" si="5"/>
        <v>0</v>
      </c>
      <c r="P29" s="283">
        <f t="shared" si="6"/>
        <v>0</v>
      </c>
      <c r="Q29" s="283">
        <f t="shared" si="7"/>
        <v>3970000</v>
      </c>
      <c r="R29" s="283">
        <f t="shared" si="8"/>
        <v>-1324000</v>
      </c>
      <c r="S29" s="320">
        <f t="shared" si="9"/>
        <v>3017000</v>
      </c>
      <c r="T29" s="283">
        <f t="shared" si="10"/>
        <v>-1324000</v>
      </c>
      <c r="U29" s="321">
        <f t="shared" si="11"/>
        <v>1693000</v>
      </c>
      <c r="V29" s="310"/>
    </row>
    <row r="30" spans="1:22" s="137" customFormat="1" ht="12.75" customHeight="1">
      <c r="A30" s="281" t="s">
        <v>21</v>
      </c>
      <c r="B30" s="282">
        <v>6715</v>
      </c>
      <c r="C30" s="283">
        <v>5112000</v>
      </c>
      <c r="D30" s="283">
        <v>0</v>
      </c>
      <c r="E30" s="283">
        <f t="shared" si="1"/>
        <v>0</v>
      </c>
      <c r="F30" s="283">
        <v>3951000</v>
      </c>
      <c r="G30" s="283">
        <f t="shared" si="1"/>
        <v>-1317000</v>
      </c>
      <c r="H30" s="284">
        <v>122.266667</v>
      </c>
      <c r="I30" s="283">
        <v>137000</v>
      </c>
      <c r="J30" s="283">
        <v>0</v>
      </c>
      <c r="K30" s="283">
        <f t="shared" si="2"/>
        <v>0</v>
      </c>
      <c r="L30" s="283">
        <v>72000</v>
      </c>
      <c r="M30" s="285">
        <f t="shared" si="3"/>
        <v>-24000</v>
      </c>
      <c r="N30" s="283">
        <f t="shared" si="4"/>
        <v>5249000</v>
      </c>
      <c r="O30" s="283">
        <f t="shared" si="5"/>
        <v>0</v>
      </c>
      <c r="P30" s="283">
        <f t="shared" si="6"/>
        <v>0</v>
      </c>
      <c r="Q30" s="283">
        <f t="shared" si="7"/>
        <v>4023000</v>
      </c>
      <c r="R30" s="283">
        <f t="shared" si="8"/>
        <v>-1341000</v>
      </c>
      <c r="S30" s="320">
        <f t="shared" si="9"/>
        <v>9272000</v>
      </c>
      <c r="T30" s="283">
        <f t="shared" si="10"/>
        <v>-1341000</v>
      </c>
      <c r="U30" s="321">
        <f t="shared" si="11"/>
        <v>7931000</v>
      </c>
      <c r="V30" s="310"/>
    </row>
    <row r="31" spans="1:22" s="137" customFormat="1" ht="6" customHeight="1">
      <c r="A31" s="281"/>
      <c r="B31" s="283"/>
      <c r="C31" s="283"/>
      <c r="D31" s="283"/>
      <c r="E31" s="283"/>
      <c r="F31" s="283"/>
      <c r="G31" s="283"/>
      <c r="H31" s="284"/>
      <c r="I31" s="283"/>
      <c r="J31" s="283"/>
      <c r="K31" s="283"/>
      <c r="L31" s="283"/>
      <c r="M31" s="285"/>
      <c r="N31" s="283"/>
      <c r="O31" s="283"/>
      <c r="P31" s="283"/>
      <c r="Q31" s="283"/>
      <c r="R31" s="283"/>
      <c r="S31" s="320"/>
      <c r="T31" s="283"/>
      <c r="U31" s="322"/>
      <c r="V31" s="310"/>
    </row>
    <row r="32" spans="1:22" s="137" customFormat="1" ht="12.75">
      <c r="A32" s="286" t="s">
        <v>22</v>
      </c>
      <c r="B32" s="287">
        <f>SUM(B8:B30)</f>
        <v>330440</v>
      </c>
      <c r="C32" s="288">
        <f>SUM(C8:C30)</f>
        <v>-11089000</v>
      </c>
      <c r="D32" s="288">
        <f>SUM(D8:D30)</f>
        <v>2903000</v>
      </c>
      <c r="E32" s="288">
        <f>SUM(E8:E30)</f>
        <v>-967000</v>
      </c>
      <c r="F32" s="288">
        <f>SUM(F8:F30)</f>
        <v>185271000</v>
      </c>
      <c r="G32" s="288">
        <f aca="true" t="shared" si="12" ref="G32:U32">SUM(G8:G30)</f>
        <v>-61756000</v>
      </c>
      <c r="H32" s="289">
        <f t="shared" si="12"/>
        <v>13561.445834</v>
      </c>
      <c r="I32" s="288">
        <f>SUM(I8:I30)</f>
        <v>-5345000</v>
      </c>
      <c r="J32" s="288">
        <f t="shared" si="12"/>
        <v>194000</v>
      </c>
      <c r="K32" s="288">
        <f>SUM(K8:K30)</f>
        <v>-65000</v>
      </c>
      <c r="L32" s="288">
        <f t="shared" si="12"/>
        <v>8203000</v>
      </c>
      <c r="M32" s="290">
        <f t="shared" si="12"/>
        <v>-2733000</v>
      </c>
      <c r="N32" s="288">
        <f t="shared" si="12"/>
        <v>-16434000</v>
      </c>
      <c r="O32" s="288">
        <f t="shared" si="12"/>
        <v>3097000</v>
      </c>
      <c r="P32" s="288">
        <f t="shared" si="12"/>
        <v>-1032000</v>
      </c>
      <c r="Q32" s="288">
        <f>SUM(Q8:Q30)</f>
        <v>193474000</v>
      </c>
      <c r="R32" s="288">
        <f t="shared" si="12"/>
        <v>-64490000</v>
      </c>
      <c r="S32" s="323">
        <f t="shared" si="12"/>
        <v>180137000</v>
      </c>
      <c r="T32" s="288">
        <f t="shared" si="12"/>
        <v>-65522000</v>
      </c>
      <c r="U32" s="324">
        <f t="shared" si="12"/>
        <v>114615000</v>
      </c>
      <c r="V32" s="310"/>
    </row>
    <row r="33" spans="1:22" s="137" customFormat="1" ht="6" customHeight="1">
      <c r="A33" s="291"/>
      <c r="B33" s="283"/>
      <c r="C33" s="292"/>
      <c r="D33" s="292"/>
      <c r="E33" s="292"/>
      <c r="F33" s="292"/>
      <c r="G33" s="292"/>
      <c r="H33" s="284"/>
      <c r="I33" s="292"/>
      <c r="J33" s="292"/>
      <c r="K33" s="292"/>
      <c r="L33" s="292"/>
      <c r="M33" s="293"/>
      <c r="N33" s="292"/>
      <c r="O33" s="292"/>
      <c r="P33" s="292"/>
      <c r="Q33" s="292"/>
      <c r="R33" s="292"/>
      <c r="S33" s="325"/>
      <c r="T33" s="292"/>
      <c r="U33" s="322"/>
      <c r="V33" s="310"/>
    </row>
    <row r="34" spans="1:22" s="137" customFormat="1" ht="12.75">
      <c r="A34" s="294" t="s">
        <v>23</v>
      </c>
      <c r="B34" s="283">
        <v>0</v>
      </c>
      <c r="C34" s="283">
        <v>0</v>
      </c>
      <c r="D34" s="283">
        <v>0</v>
      </c>
      <c r="E34" s="283">
        <f>-ROUND((D34/3)/1000,0)*1000</f>
        <v>0</v>
      </c>
      <c r="F34" s="283">
        <v>0</v>
      </c>
      <c r="G34" s="283">
        <f>-ROUND((F34/3)/1000,0)*1000</f>
        <v>0</v>
      </c>
      <c r="H34" s="284">
        <v>0</v>
      </c>
      <c r="I34" s="283">
        <v>0</v>
      </c>
      <c r="J34" s="283">
        <v>0</v>
      </c>
      <c r="K34" s="283">
        <f>-ROUND((J34/3)/1000,0)*1000</f>
        <v>0</v>
      </c>
      <c r="L34" s="283">
        <v>0</v>
      </c>
      <c r="M34" s="285">
        <f>-ROUND(L34/3,-3)</f>
        <v>0</v>
      </c>
      <c r="N34" s="283">
        <f>C34+I34</f>
        <v>0</v>
      </c>
      <c r="O34" s="283">
        <f>D34+J34</f>
        <v>0</v>
      </c>
      <c r="P34" s="283">
        <f aca="true" t="shared" si="13" ref="P34:R38">E34+K34</f>
        <v>0</v>
      </c>
      <c r="Q34" s="283">
        <f t="shared" si="13"/>
        <v>0</v>
      </c>
      <c r="R34" s="283">
        <f t="shared" si="13"/>
        <v>0</v>
      </c>
      <c r="S34" s="320">
        <f>N34+O34+Q34</f>
        <v>0</v>
      </c>
      <c r="T34" s="283">
        <f>P34+R34</f>
        <v>0</v>
      </c>
      <c r="U34" s="321">
        <f>S34+T34</f>
        <v>0</v>
      </c>
      <c r="V34" s="310"/>
    </row>
    <row r="35" spans="1:22" s="137" customFormat="1" ht="12.75">
      <c r="A35" s="281" t="s">
        <v>29</v>
      </c>
      <c r="B35" s="283">
        <v>600</v>
      </c>
      <c r="C35" s="283">
        <v>27000</v>
      </c>
      <c r="D35" s="283">
        <v>290000</v>
      </c>
      <c r="E35" s="283">
        <f>-ROUND((D35/3)/1000,0)*1000</f>
        <v>-97000</v>
      </c>
      <c r="F35" s="283">
        <v>380000</v>
      </c>
      <c r="G35" s="283">
        <f>-ROUND((F35/3)/1000,0)*1000</f>
        <v>-127000</v>
      </c>
      <c r="H35" s="284">
        <v>0</v>
      </c>
      <c r="I35" s="283">
        <v>0</v>
      </c>
      <c r="J35" s="283">
        <v>0</v>
      </c>
      <c r="K35" s="283">
        <f>-ROUND((J35/3)/1000,0)*1000</f>
        <v>0</v>
      </c>
      <c r="L35" s="283">
        <v>0</v>
      </c>
      <c r="M35" s="285">
        <f>-ROUND(L35/3,-3)</f>
        <v>0</v>
      </c>
      <c r="N35" s="283">
        <f>C35+I35</f>
        <v>27000</v>
      </c>
      <c r="O35" s="283">
        <f>D35+J35</f>
        <v>290000</v>
      </c>
      <c r="P35" s="283">
        <f>E35+K35</f>
        <v>-97000</v>
      </c>
      <c r="Q35" s="283">
        <f>F35+L35</f>
        <v>380000</v>
      </c>
      <c r="R35" s="283">
        <f>G35+M35</f>
        <v>-127000</v>
      </c>
      <c r="S35" s="320">
        <f>N35+O35+Q35</f>
        <v>697000</v>
      </c>
      <c r="T35" s="283">
        <f>P35+R35</f>
        <v>-224000</v>
      </c>
      <c r="U35" s="321">
        <f>S35+T35</f>
        <v>473000</v>
      </c>
      <c r="V35" s="310"/>
    </row>
    <row r="36" spans="1:22" s="137" customFormat="1" ht="12.75">
      <c r="A36" s="281" t="s">
        <v>24</v>
      </c>
      <c r="B36" s="283">
        <v>625</v>
      </c>
      <c r="C36" s="283">
        <v>228000</v>
      </c>
      <c r="D36" s="283">
        <v>91000</v>
      </c>
      <c r="E36" s="283">
        <f>-ROUND((D36/3)/1000,0)*1000</f>
        <v>-30000</v>
      </c>
      <c r="F36" s="283">
        <v>232000</v>
      </c>
      <c r="G36" s="283">
        <f>-ROUND((F36/3)/1000,0)*1000</f>
        <v>-77000</v>
      </c>
      <c r="H36" s="284">
        <v>8.8</v>
      </c>
      <c r="I36" s="283">
        <v>11000</v>
      </c>
      <c r="J36" s="283">
        <v>1000</v>
      </c>
      <c r="K36" s="283">
        <f>-ROUND((J36/3)/1000,0)*1000</f>
        <v>0</v>
      </c>
      <c r="L36" s="283">
        <v>4000</v>
      </c>
      <c r="M36" s="285">
        <f>-ROUND(L36/3,-3)</f>
        <v>-1000</v>
      </c>
      <c r="N36" s="283">
        <f>C36+I36</f>
        <v>239000</v>
      </c>
      <c r="O36" s="283">
        <f>D36+J36</f>
        <v>92000</v>
      </c>
      <c r="P36" s="283">
        <f t="shared" si="13"/>
        <v>-30000</v>
      </c>
      <c r="Q36" s="283">
        <f t="shared" si="13"/>
        <v>236000</v>
      </c>
      <c r="R36" s="283">
        <f t="shared" si="13"/>
        <v>-78000</v>
      </c>
      <c r="S36" s="320">
        <f>N36+O36+Q36</f>
        <v>567000</v>
      </c>
      <c r="T36" s="283">
        <f>P36+R36</f>
        <v>-108000</v>
      </c>
      <c r="U36" s="321">
        <f>S36+T36</f>
        <v>459000</v>
      </c>
      <c r="V36" s="310"/>
    </row>
    <row r="37" spans="1:22" s="137" customFormat="1" ht="12.75">
      <c r="A37" s="281" t="s">
        <v>25</v>
      </c>
      <c r="B37" s="283">
        <v>51</v>
      </c>
      <c r="C37" s="283">
        <v>4000</v>
      </c>
      <c r="D37" s="283">
        <v>130000</v>
      </c>
      <c r="E37" s="283">
        <f>-ROUND((D37/3)/1000,0)*1000</f>
        <v>-43000</v>
      </c>
      <c r="F37" s="283">
        <v>0</v>
      </c>
      <c r="G37" s="283">
        <f>-ROUND((F37/3)/1000,0)*1000</f>
        <v>0</v>
      </c>
      <c r="H37" s="284">
        <v>2.966667</v>
      </c>
      <c r="I37" s="283">
        <v>2000</v>
      </c>
      <c r="J37" s="283">
        <v>8000</v>
      </c>
      <c r="K37" s="283">
        <f>-ROUND((J37/3)/1000,0)*1000</f>
        <v>-3000</v>
      </c>
      <c r="L37" s="283">
        <v>0</v>
      </c>
      <c r="M37" s="285">
        <f>-ROUND(L37/3,-3)</f>
        <v>0</v>
      </c>
      <c r="N37" s="283">
        <f>C37+I37</f>
        <v>6000</v>
      </c>
      <c r="O37" s="283">
        <f>D37+J37</f>
        <v>138000</v>
      </c>
      <c r="P37" s="283">
        <f>E37+K37</f>
        <v>-46000</v>
      </c>
      <c r="Q37" s="283">
        <f>F37+L37</f>
        <v>0</v>
      </c>
      <c r="R37" s="283">
        <f>G37+M37</f>
        <v>0</v>
      </c>
      <c r="S37" s="320">
        <f>N37+O37+Q37</f>
        <v>144000</v>
      </c>
      <c r="T37" s="283">
        <f>P37+R37</f>
        <v>-46000</v>
      </c>
      <c r="U37" s="321">
        <f>S37+T37</f>
        <v>98000</v>
      </c>
      <c r="V37" s="310"/>
    </row>
    <row r="38" spans="1:22" s="137" customFormat="1" ht="16.5" customHeight="1">
      <c r="A38" s="295" t="s">
        <v>26</v>
      </c>
      <c r="B38" s="283">
        <v>0</v>
      </c>
      <c r="C38" s="283">
        <v>0</v>
      </c>
      <c r="D38" s="283">
        <v>0</v>
      </c>
      <c r="E38" s="283">
        <f>-ROUND((D38/3)/1000,0)*1000</f>
        <v>0</v>
      </c>
      <c r="F38" s="283">
        <v>0</v>
      </c>
      <c r="G38" s="283">
        <f>-ROUND((F38/3)/1000,0)*1000</f>
        <v>0</v>
      </c>
      <c r="H38" s="284">
        <v>0</v>
      </c>
      <c r="I38" s="283">
        <v>0</v>
      </c>
      <c r="J38" s="283">
        <v>0</v>
      </c>
      <c r="K38" s="283">
        <f>-ROUND((J38/3)/1000,0)*1000</f>
        <v>0</v>
      </c>
      <c r="L38" s="283">
        <v>0</v>
      </c>
      <c r="M38" s="285">
        <f>-ROUND(L38/3,-3)</f>
        <v>0</v>
      </c>
      <c r="N38" s="283">
        <f>C38+I38</f>
        <v>0</v>
      </c>
      <c r="O38" s="283">
        <f>D38+J38</f>
        <v>0</v>
      </c>
      <c r="P38" s="283">
        <f t="shared" si="13"/>
        <v>0</v>
      </c>
      <c r="Q38" s="283">
        <f t="shared" si="13"/>
        <v>0</v>
      </c>
      <c r="R38" s="283">
        <f t="shared" si="13"/>
        <v>0</v>
      </c>
      <c r="S38" s="320">
        <f>N38+O38+Q38</f>
        <v>0</v>
      </c>
      <c r="T38" s="283">
        <f>P38+R38</f>
        <v>0</v>
      </c>
      <c r="U38" s="321">
        <f>S38+T38</f>
        <v>0</v>
      </c>
      <c r="V38" s="310"/>
    </row>
    <row r="39" spans="1:22" s="137" customFormat="1" ht="6" customHeight="1">
      <c r="A39" s="295"/>
      <c r="B39" s="283"/>
      <c r="C39" s="283"/>
      <c r="D39" s="283"/>
      <c r="E39" s="283"/>
      <c r="F39" s="283"/>
      <c r="G39" s="296"/>
      <c r="H39" s="284"/>
      <c r="I39" s="283"/>
      <c r="J39" s="283"/>
      <c r="K39" s="283"/>
      <c r="L39" s="283"/>
      <c r="M39" s="285"/>
      <c r="N39" s="283"/>
      <c r="O39" s="283"/>
      <c r="P39" s="283"/>
      <c r="Q39" s="283"/>
      <c r="R39" s="283"/>
      <c r="S39" s="320"/>
      <c r="T39" s="283"/>
      <c r="U39" s="321"/>
      <c r="V39" s="310"/>
    </row>
    <row r="40" spans="1:22" s="137" customFormat="1" ht="6" customHeight="1">
      <c r="A40" s="295"/>
      <c r="G40" s="285"/>
      <c r="M40" s="410"/>
      <c r="R40" s="322"/>
      <c r="V40" s="310"/>
    </row>
    <row r="41" spans="1:22" s="137" customFormat="1" ht="6" customHeight="1">
      <c r="A41" s="295"/>
      <c r="B41" s="283"/>
      <c r="C41" s="283"/>
      <c r="D41" s="283"/>
      <c r="E41" s="283"/>
      <c r="F41" s="283"/>
      <c r="G41" s="296"/>
      <c r="H41" s="284"/>
      <c r="I41" s="283"/>
      <c r="J41" s="283"/>
      <c r="K41" s="283"/>
      <c r="L41" s="283"/>
      <c r="M41" s="285"/>
      <c r="N41" s="283"/>
      <c r="O41" s="283"/>
      <c r="P41" s="283"/>
      <c r="Q41" s="283"/>
      <c r="R41" s="283"/>
      <c r="S41" s="326"/>
      <c r="T41" s="297"/>
      <c r="U41" s="327"/>
      <c r="V41" s="310"/>
    </row>
    <row r="42" spans="1:22" s="137" customFormat="1" ht="13.5" thickBot="1">
      <c r="A42" s="298" t="s">
        <v>35</v>
      </c>
      <c r="B42" s="299">
        <f>SUM(B32:B38)</f>
        <v>331716</v>
      </c>
      <c r="C42" s="300">
        <f>SUM(C32:C38)</f>
        <v>-10830000</v>
      </c>
      <c r="D42" s="300">
        <f>SUM(D32:D38)</f>
        <v>3414000</v>
      </c>
      <c r="E42" s="300">
        <f>SUM(E32:E38)</f>
        <v>-1137000</v>
      </c>
      <c r="F42" s="300">
        <f>SUM(F32:F38)</f>
        <v>185883000</v>
      </c>
      <c r="G42" s="300">
        <f aca="true" t="shared" si="14" ref="G42:Q42">SUM(G32:G38)</f>
        <v>-61960000</v>
      </c>
      <c r="H42" s="301">
        <f t="shared" si="14"/>
        <v>13573.212501</v>
      </c>
      <c r="I42" s="300">
        <f>SUM(I32:I38)</f>
        <v>-5332000</v>
      </c>
      <c r="J42" s="300">
        <f t="shared" si="14"/>
        <v>203000</v>
      </c>
      <c r="K42" s="300">
        <f>SUM(K32:K38)</f>
        <v>-68000</v>
      </c>
      <c r="L42" s="300">
        <f t="shared" si="14"/>
        <v>8207000</v>
      </c>
      <c r="M42" s="302">
        <f t="shared" si="14"/>
        <v>-2734000</v>
      </c>
      <c r="N42" s="300">
        <f t="shared" si="14"/>
        <v>-16162000</v>
      </c>
      <c r="O42" s="300">
        <f t="shared" si="14"/>
        <v>3617000</v>
      </c>
      <c r="P42" s="300">
        <f t="shared" si="14"/>
        <v>-1205000</v>
      </c>
      <c r="Q42" s="300">
        <f t="shared" si="14"/>
        <v>194090000</v>
      </c>
      <c r="R42" s="402">
        <f>SUM(R32:R38)</f>
        <v>-64695000</v>
      </c>
      <c r="S42" s="303">
        <f>SUM(S32:S38)</f>
        <v>181545000</v>
      </c>
      <c r="T42" s="303">
        <f>SUM(T32:T38)</f>
        <v>-65900000</v>
      </c>
      <c r="U42" s="402">
        <f>SUM(U32:U38)</f>
        <v>115645000</v>
      </c>
      <c r="V42" s="310"/>
    </row>
    <row r="43" ht="6" customHeight="1">
      <c r="P43" s="132"/>
    </row>
    <row r="44" spans="2:21" ht="16.5" customHeight="1">
      <c r="B44" s="136" t="s">
        <v>107</v>
      </c>
      <c r="C44" s="136"/>
      <c r="D44" s="137"/>
      <c r="E44" s="137"/>
      <c r="G44" s="140"/>
      <c r="H44" s="137"/>
      <c r="I44" s="137"/>
      <c r="K44" s="138"/>
      <c r="L44" s="137"/>
      <c r="M44" s="136"/>
      <c r="P44" s="132"/>
      <c r="Q44" s="141"/>
      <c r="U44" s="132"/>
    </row>
    <row r="45" spans="2:20" s="142" customFormat="1" ht="16.5" customHeight="1">
      <c r="B45" s="136" t="s">
        <v>82</v>
      </c>
      <c r="C45" s="136"/>
      <c r="D45" s="143"/>
      <c r="E45" s="143"/>
      <c r="G45" s="143"/>
      <c r="H45" s="144"/>
      <c r="I45" s="144"/>
      <c r="K45" s="143"/>
      <c r="L45" s="144"/>
      <c r="M45" s="136"/>
      <c r="O45" s="145"/>
      <c r="Q45" s="145"/>
      <c r="T45" s="145"/>
    </row>
    <row r="46" spans="4:13" s="142" customFormat="1" ht="16.5" customHeight="1">
      <c r="D46" s="146"/>
      <c r="E46" s="146"/>
      <c r="F46" s="146"/>
      <c r="G46" s="146"/>
      <c r="H46" s="146"/>
      <c r="I46" s="146"/>
      <c r="J46" s="146"/>
      <c r="K46" s="146"/>
      <c r="L46" s="146"/>
      <c r="M46" s="139"/>
    </row>
    <row r="47" spans="4:13" s="142" customFormat="1" ht="16.5" customHeight="1">
      <c r="D47" s="143"/>
      <c r="E47" s="143"/>
      <c r="F47" s="144"/>
      <c r="G47" s="143"/>
      <c r="H47" s="144"/>
      <c r="I47" s="144"/>
      <c r="J47" s="144"/>
      <c r="K47" s="143"/>
      <c r="L47" s="144"/>
      <c r="M47" s="137"/>
    </row>
    <row r="48" s="147" customFormat="1" ht="18.75" customHeight="1">
      <c r="G48" s="148"/>
    </row>
    <row r="49" spans="2:19" s="147" customFormat="1" ht="18.75" customHeight="1">
      <c r="B49" s="148"/>
      <c r="C49" s="148"/>
      <c r="D49" s="148"/>
      <c r="E49" s="148"/>
      <c r="F49" s="148"/>
      <c r="G49" s="149"/>
      <c r="J49" s="148"/>
      <c r="K49" s="149"/>
      <c r="L49" s="148"/>
      <c r="O49" s="148"/>
      <c r="Q49" s="148"/>
      <c r="S49" s="148"/>
    </row>
    <row r="50" spans="6:7" ht="15">
      <c r="F50" s="141"/>
      <c r="G50" s="141"/>
    </row>
    <row r="51" spans="2:7" ht="15">
      <c r="B51" s="132"/>
      <c r="C51" s="132"/>
      <c r="D51" s="132"/>
      <c r="E51" s="132"/>
      <c r="F51" s="132"/>
      <c r="G51" s="132"/>
    </row>
  </sheetData>
  <sheetProtection/>
  <mergeCells count="4">
    <mergeCell ref="H4:M4"/>
    <mergeCell ref="B4:G4"/>
    <mergeCell ref="N4:R4"/>
    <mergeCell ref="S4:U4"/>
  </mergeCells>
  <printOptions/>
  <pageMargins left="0.18" right="0.12" top="0.59" bottom="0.25" header="0.3" footer="0.3"/>
  <pageSetup fitToWidth="2" horizontalDpi="600" verticalDpi="600" orientation="landscape" paperSize="5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" sqref="C5:D5"/>
    </sheetView>
  </sheetViews>
  <sheetFormatPr defaultColWidth="10" defaultRowHeight="12.75"/>
  <cols>
    <col min="1" max="1" width="1.5" style="25" customWidth="1"/>
    <col min="2" max="2" width="21.83203125" style="24" customWidth="1"/>
    <col min="3" max="3" width="13.83203125" style="24" customWidth="1"/>
    <col min="4" max="4" width="11" style="24" bestFit="1" customWidth="1"/>
    <col min="5" max="5" width="13.83203125" style="24" customWidth="1"/>
    <col min="6" max="6" width="11" style="25" bestFit="1" customWidth="1"/>
    <col min="7" max="7" width="13.83203125" style="24" customWidth="1"/>
    <col min="8" max="8" width="11" style="24" bestFit="1" customWidth="1"/>
    <col min="9" max="9" width="13.83203125" style="24" customWidth="1"/>
    <col min="10" max="10" width="11" style="24" bestFit="1" customWidth="1"/>
    <col min="11" max="11" width="2.33203125" style="24" customWidth="1"/>
    <col min="12" max="12" width="16.83203125" style="24" bestFit="1" customWidth="1"/>
    <col min="13" max="13" width="2.5" style="24" customWidth="1"/>
    <col min="14" max="14" width="2.33203125" style="24" customWidth="1"/>
    <col min="15" max="15" width="15.16015625" style="24" customWidth="1"/>
    <col min="16" max="16384" width="10" style="24" customWidth="1"/>
  </cols>
  <sheetData>
    <row r="1" ht="18.75" customHeight="1">
      <c r="A1" s="23" t="s">
        <v>129</v>
      </c>
    </row>
    <row r="2" spans="1:2" ht="15.75" customHeight="1">
      <c r="A2" s="106"/>
      <c r="B2" s="68"/>
    </row>
    <row r="3" spans="3:12" ht="14.25" customHeight="1">
      <c r="C3" s="26">
        <v>-1</v>
      </c>
      <c r="D3" s="26"/>
      <c r="E3" s="26"/>
      <c r="F3" s="26"/>
      <c r="G3" s="26"/>
      <c r="H3" s="26"/>
      <c r="I3" s="26">
        <v>-2</v>
      </c>
      <c r="L3" s="26">
        <v>-3</v>
      </c>
    </row>
    <row r="4" spans="1:14" ht="36.75" customHeight="1">
      <c r="A4" s="27"/>
      <c r="B4" s="28"/>
      <c r="C4" s="403"/>
      <c r="D4" s="404"/>
      <c r="E4" s="439" t="s">
        <v>168</v>
      </c>
      <c r="F4" s="440"/>
      <c r="G4" s="440"/>
      <c r="H4" s="440"/>
      <c r="I4" s="440"/>
      <c r="J4" s="440"/>
      <c r="K4" s="440"/>
      <c r="L4" s="440"/>
      <c r="M4" s="441"/>
      <c r="N4" s="70"/>
    </row>
    <row r="5" spans="1:15" s="31" customFormat="1" ht="65.25" thickBot="1">
      <c r="A5" s="29"/>
      <c r="B5" s="30" t="s">
        <v>32</v>
      </c>
      <c r="C5" s="449" t="s">
        <v>85</v>
      </c>
      <c r="D5" s="450"/>
      <c r="E5" s="442" t="s">
        <v>86</v>
      </c>
      <c r="F5" s="443"/>
      <c r="G5" s="415" t="s">
        <v>87</v>
      </c>
      <c r="H5" s="416"/>
      <c r="I5" s="444" t="s">
        <v>169</v>
      </c>
      <c r="J5" s="445"/>
      <c r="K5" s="446" t="s">
        <v>170</v>
      </c>
      <c r="L5" s="447"/>
      <c r="M5" s="448"/>
      <c r="N5" s="32"/>
      <c r="O5" s="67"/>
    </row>
    <row r="6" spans="1:15" s="94" customFormat="1" ht="15">
      <c r="A6" s="86"/>
      <c r="B6" s="87"/>
      <c r="C6" s="88" t="s">
        <v>38</v>
      </c>
      <c r="D6" s="89" t="s">
        <v>39</v>
      </c>
      <c r="E6" s="90" t="s">
        <v>38</v>
      </c>
      <c r="F6" s="91" t="s">
        <v>39</v>
      </c>
      <c r="G6" s="90" t="s">
        <v>38</v>
      </c>
      <c r="H6" s="89" t="s">
        <v>39</v>
      </c>
      <c r="I6" s="90" t="s">
        <v>38</v>
      </c>
      <c r="J6" s="91" t="s">
        <v>39</v>
      </c>
      <c r="K6" s="90"/>
      <c r="L6" s="92" t="s">
        <v>60</v>
      </c>
      <c r="M6" s="93"/>
      <c r="N6" s="87"/>
      <c r="O6" s="87"/>
    </row>
    <row r="7" spans="1:15" ht="9" customHeight="1">
      <c r="A7" s="35"/>
      <c r="B7" s="33"/>
      <c r="C7" s="38"/>
      <c r="D7" s="33"/>
      <c r="E7" s="38"/>
      <c r="F7" s="36"/>
      <c r="G7" s="38"/>
      <c r="H7" s="34"/>
      <c r="I7" s="112"/>
      <c r="J7" s="36"/>
      <c r="K7" s="35"/>
      <c r="L7" s="68"/>
      <c r="M7" s="37"/>
      <c r="N7" s="33"/>
      <c r="O7" s="33"/>
    </row>
    <row r="8" spans="1:15" ht="15">
      <c r="A8" s="39"/>
      <c r="B8" s="33" t="s">
        <v>40</v>
      </c>
      <c r="C8" s="40">
        <v>15817300</v>
      </c>
      <c r="D8" s="41">
        <f>C8/$C$32</f>
        <v>0.025273922127692482</v>
      </c>
      <c r="E8" s="109">
        <v>19287000</v>
      </c>
      <c r="F8" s="41">
        <f aca="true" t="shared" si="0" ref="F8:F30">E8/$E$32</f>
        <v>0.02587725324099616</v>
      </c>
      <c r="G8" s="109">
        <v>18920500</v>
      </c>
      <c r="H8" s="43">
        <f aca="true" t="shared" si="1" ref="H8:H30">G8/$G$32</f>
        <v>0.026055574024105452</v>
      </c>
      <c r="I8" s="42">
        <f>ROUND((691734800)*J8/100,0)*100+100</f>
        <v>18023600</v>
      </c>
      <c r="J8" s="41">
        <f>H8</f>
        <v>0.026055574024105452</v>
      </c>
      <c r="K8" s="44"/>
      <c r="L8" s="45">
        <f>I8-C8</f>
        <v>2206300</v>
      </c>
      <c r="M8" s="37"/>
      <c r="N8" s="33"/>
      <c r="O8" s="47"/>
    </row>
    <row r="9" spans="1:15" ht="15">
      <c r="A9" s="39"/>
      <c r="B9" s="33" t="s">
        <v>1</v>
      </c>
      <c r="C9" s="104">
        <v>6215700</v>
      </c>
      <c r="D9" s="41">
        <f aca="true" t="shared" si="2" ref="D9:D30">C9/$C$32</f>
        <v>0.009931854220954156</v>
      </c>
      <c r="E9" s="110">
        <v>6605200</v>
      </c>
      <c r="F9" s="41">
        <f t="shared" si="0"/>
        <v>0.008862157572843254</v>
      </c>
      <c r="G9" s="111">
        <v>7038900</v>
      </c>
      <c r="H9" s="43">
        <f t="shared" si="1"/>
        <v>0.00969332628621209</v>
      </c>
      <c r="I9" s="104">
        <f>ROUND((691734800)*J9/100,0)*100</f>
        <v>6705200</v>
      </c>
      <c r="J9" s="41">
        <f aca="true" t="shared" si="3" ref="J9:J30">H9</f>
        <v>0.00969332628621209</v>
      </c>
      <c r="K9" s="44"/>
      <c r="L9" s="48">
        <f>I9-C9</f>
        <v>489500</v>
      </c>
      <c r="M9" s="37"/>
      <c r="N9" s="46"/>
      <c r="O9" s="47"/>
    </row>
    <row r="10" spans="1:15" ht="15">
      <c r="A10" s="39"/>
      <c r="B10" s="33" t="s">
        <v>41</v>
      </c>
      <c r="C10" s="104">
        <v>22678800</v>
      </c>
      <c r="D10" s="41">
        <f t="shared" si="2"/>
        <v>0.03623767805817126</v>
      </c>
      <c r="E10" s="110">
        <v>26243000</v>
      </c>
      <c r="F10" s="41">
        <f t="shared" si="0"/>
        <v>0.03521007708837363</v>
      </c>
      <c r="G10" s="111">
        <v>26135600</v>
      </c>
      <c r="H10" s="43">
        <f t="shared" si="1"/>
        <v>0.03599154675956821</v>
      </c>
      <c r="I10" s="104">
        <f aca="true" t="shared" si="4" ref="I10:I30">ROUND((691734800)*J10/100,0)*100</f>
        <v>24896600</v>
      </c>
      <c r="J10" s="41">
        <f t="shared" si="3"/>
        <v>0.03599154675956821</v>
      </c>
      <c r="K10" s="44"/>
      <c r="L10" s="48">
        <f aca="true" t="shared" si="5" ref="L10:L30">I10-C10</f>
        <v>2217800</v>
      </c>
      <c r="M10" s="37"/>
      <c r="N10" s="46"/>
      <c r="O10" s="47"/>
    </row>
    <row r="11" spans="1:15" ht="15">
      <c r="A11" s="39"/>
      <c r="B11" s="33" t="s">
        <v>42</v>
      </c>
      <c r="C11" s="105">
        <v>28907000</v>
      </c>
      <c r="D11" s="41">
        <f t="shared" si="2"/>
        <v>0.04618950560115864</v>
      </c>
      <c r="E11" s="110">
        <v>34295600</v>
      </c>
      <c r="F11" s="41">
        <f t="shared" si="0"/>
        <v>0.04601420263658982</v>
      </c>
      <c r="G11" s="111">
        <v>32515600</v>
      </c>
      <c r="H11" s="43">
        <f t="shared" si="1"/>
        <v>0.0447774965110966</v>
      </c>
      <c r="I11" s="104">
        <f t="shared" si="4"/>
        <v>30974200</v>
      </c>
      <c r="J11" s="41">
        <f>H11</f>
        <v>0.0447774965110966</v>
      </c>
      <c r="K11" s="44"/>
      <c r="L11" s="48">
        <f t="shared" si="5"/>
        <v>2067200</v>
      </c>
      <c r="M11" s="37"/>
      <c r="N11" s="46"/>
      <c r="O11" s="47"/>
    </row>
    <row r="12" spans="1:15" ht="15">
      <c r="A12" s="39"/>
      <c r="B12" s="33" t="s">
        <v>28</v>
      </c>
      <c r="C12" s="105">
        <v>21925800</v>
      </c>
      <c r="D12" s="41">
        <f t="shared" si="2"/>
        <v>0.03503448513888969</v>
      </c>
      <c r="E12" s="110">
        <v>24660400</v>
      </c>
      <c r="F12" s="41">
        <f t="shared" si="0"/>
        <v>0.033086712076749195</v>
      </c>
      <c r="G12" s="111">
        <v>24513500</v>
      </c>
      <c r="H12" s="43">
        <f t="shared" si="1"/>
        <v>0.0337577396918638</v>
      </c>
      <c r="I12" s="104">
        <f t="shared" si="4"/>
        <v>23351400</v>
      </c>
      <c r="J12" s="41">
        <f t="shared" si="3"/>
        <v>0.0337577396918638</v>
      </c>
      <c r="K12" s="44"/>
      <c r="L12" s="48">
        <f t="shared" si="5"/>
        <v>1425600</v>
      </c>
      <c r="M12" s="37"/>
      <c r="N12" s="46"/>
      <c r="O12" s="47"/>
    </row>
    <row r="13" spans="1:15" ht="15">
      <c r="A13" s="39"/>
      <c r="B13" s="33" t="s">
        <v>43</v>
      </c>
      <c r="C13" s="105">
        <v>34935700</v>
      </c>
      <c r="D13" s="41">
        <f t="shared" si="2"/>
        <v>0.05582255892449573</v>
      </c>
      <c r="E13" s="110">
        <v>41522500</v>
      </c>
      <c r="F13" s="41">
        <f t="shared" si="0"/>
        <v>0.05571049140349785</v>
      </c>
      <c r="G13" s="111">
        <v>41090700</v>
      </c>
      <c r="H13" s="43">
        <f t="shared" si="1"/>
        <v>0.056586336278233125</v>
      </c>
      <c r="I13" s="104">
        <f t="shared" si="4"/>
        <v>39142700</v>
      </c>
      <c r="J13" s="41">
        <f t="shared" si="3"/>
        <v>0.056586336278233125</v>
      </c>
      <c r="K13" s="44"/>
      <c r="L13" s="48">
        <f t="shared" si="5"/>
        <v>4207000</v>
      </c>
      <c r="M13" s="37"/>
      <c r="N13" s="46"/>
      <c r="O13" s="47"/>
    </row>
    <row r="14" spans="1:15" ht="15">
      <c r="A14" s="39"/>
      <c r="B14" s="33" t="s">
        <v>44</v>
      </c>
      <c r="C14" s="104">
        <v>45000900</v>
      </c>
      <c r="D14" s="41">
        <f t="shared" si="2"/>
        <v>0.07190539739880236</v>
      </c>
      <c r="E14" s="110">
        <v>55818500</v>
      </c>
      <c r="F14" s="41">
        <f t="shared" si="0"/>
        <v>0.07489134961541681</v>
      </c>
      <c r="G14" s="111">
        <v>53010900</v>
      </c>
      <c r="H14" s="43">
        <f t="shared" si="1"/>
        <v>0.07300174038923135</v>
      </c>
      <c r="I14" s="104">
        <f>ROUND((691734800)*J14/100,0)*100+100</f>
        <v>50497900</v>
      </c>
      <c r="J14" s="41">
        <f t="shared" si="3"/>
        <v>0.07300174038923135</v>
      </c>
      <c r="K14" s="44"/>
      <c r="L14" s="48">
        <f t="shared" si="5"/>
        <v>5497000</v>
      </c>
      <c r="M14" s="37"/>
      <c r="N14" s="46"/>
      <c r="O14" s="47"/>
    </row>
    <row r="15" spans="1:15" ht="15">
      <c r="A15" s="39"/>
      <c r="B15" s="33" t="s">
        <v>45</v>
      </c>
      <c r="C15" s="104">
        <v>15031900</v>
      </c>
      <c r="D15" s="41">
        <f t="shared" si="2"/>
        <v>0.024018958357700786</v>
      </c>
      <c r="E15" s="110">
        <v>16370600</v>
      </c>
      <c r="F15" s="41">
        <f t="shared" si="0"/>
        <v>0.021964336698659808</v>
      </c>
      <c r="G15" s="111">
        <v>16321500</v>
      </c>
      <c r="H15" s="43">
        <f t="shared" si="1"/>
        <v>0.022476470042252433</v>
      </c>
      <c r="I15" s="104">
        <f t="shared" si="4"/>
        <v>15547800</v>
      </c>
      <c r="J15" s="41">
        <f t="shared" si="3"/>
        <v>0.022476470042252433</v>
      </c>
      <c r="K15" s="44"/>
      <c r="L15" s="48">
        <f t="shared" si="5"/>
        <v>515900</v>
      </c>
      <c r="M15" s="37"/>
      <c r="N15" s="46"/>
      <c r="O15" s="47"/>
    </row>
    <row r="16" spans="1:15" ht="15">
      <c r="A16" s="39"/>
      <c r="B16" s="33" t="s">
        <v>46</v>
      </c>
      <c r="C16" s="104">
        <v>50505800</v>
      </c>
      <c r="D16" s="41">
        <f t="shared" si="2"/>
        <v>0.08070148863565912</v>
      </c>
      <c r="E16" s="110">
        <v>60383400</v>
      </c>
      <c r="F16" s="41">
        <f t="shared" si="0"/>
        <v>0.08101604880760965</v>
      </c>
      <c r="G16" s="111">
        <v>57779000</v>
      </c>
      <c r="H16" s="43">
        <f t="shared" si="1"/>
        <v>0.07956792957579287</v>
      </c>
      <c r="I16" s="104">
        <f t="shared" si="4"/>
        <v>55039900</v>
      </c>
      <c r="J16" s="41">
        <f t="shared" si="3"/>
        <v>0.07956792957579287</v>
      </c>
      <c r="K16" s="44"/>
      <c r="L16" s="48">
        <f t="shared" si="5"/>
        <v>4534100</v>
      </c>
      <c r="M16" s="37"/>
      <c r="N16" s="46"/>
      <c r="O16" s="47"/>
    </row>
    <row r="17" spans="1:15" ht="15">
      <c r="A17" s="39"/>
      <c r="B17" s="33" t="s">
        <v>47</v>
      </c>
      <c r="C17" s="105">
        <v>42333400</v>
      </c>
      <c r="D17" s="41">
        <f t="shared" si="2"/>
        <v>0.0676430904769118</v>
      </c>
      <c r="E17" s="110">
        <v>50150500</v>
      </c>
      <c r="F17" s="41">
        <f t="shared" si="0"/>
        <v>0.067286627711027</v>
      </c>
      <c r="G17" s="111">
        <v>48235200</v>
      </c>
      <c r="H17" s="43">
        <f t="shared" si="1"/>
        <v>0.06642508518102223</v>
      </c>
      <c r="I17" s="104">
        <f t="shared" si="4"/>
        <v>45948500</v>
      </c>
      <c r="J17" s="41">
        <f t="shared" si="3"/>
        <v>0.06642508518102223</v>
      </c>
      <c r="K17" s="44"/>
      <c r="L17" s="48">
        <f t="shared" si="5"/>
        <v>3615100</v>
      </c>
      <c r="M17" s="37"/>
      <c r="N17" s="46"/>
      <c r="O17" s="47"/>
    </row>
    <row r="18" spans="1:15" ht="15">
      <c r="A18" s="39"/>
      <c r="B18" s="33" t="s">
        <v>9</v>
      </c>
      <c r="C18" s="105">
        <v>1638900</v>
      </c>
      <c r="D18" s="41">
        <f t="shared" si="2"/>
        <v>0.0026187421984204136</v>
      </c>
      <c r="E18" s="110">
        <v>1822000</v>
      </c>
      <c r="F18" s="41">
        <f t="shared" si="0"/>
        <v>0.002444566568418883</v>
      </c>
      <c r="G18" s="111">
        <v>1905600</v>
      </c>
      <c r="H18" s="43">
        <f t="shared" si="1"/>
        <v>0.0026242172173217065</v>
      </c>
      <c r="I18" s="104">
        <f t="shared" si="4"/>
        <v>1815300</v>
      </c>
      <c r="J18" s="41">
        <f t="shared" si="3"/>
        <v>0.0026242172173217065</v>
      </c>
      <c r="K18" s="44"/>
      <c r="L18" s="48">
        <f t="shared" si="5"/>
        <v>176400</v>
      </c>
      <c r="M18" s="37"/>
      <c r="N18" s="46"/>
      <c r="O18" s="47"/>
    </row>
    <row r="19" spans="1:15" ht="15">
      <c r="A19" s="39"/>
      <c r="B19" s="33" t="s">
        <v>10</v>
      </c>
      <c r="C19" s="105">
        <v>8975700</v>
      </c>
      <c r="D19" s="41">
        <f t="shared" si="2"/>
        <v>0.014341963725890602</v>
      </c>
      <c r="E19" s="110">
        <v>9255600</v>
      </c>
      <c r="F19" s="41">
        <f t="shared" si="0"/>
        <v>0.012418183496519108</v>
      </c>
      <c r="G19" s="111">
        <v>10125600</v>
      </c>
      <c r="H19" s="43">
        <f t="shared" si="1"/>
        <v>0.013944045894055767</v>
      </c>
      <c r="I19" s="104">
        <f t="shared" si="4"/>
        <v>9645600</v>
      </c>
      <c r="J19" s="41">
        <f t="shared" si="3"/>
        <v>0.013944045894055767</v>
      </c>
      <c r="K19" s="44"/>
      <c r="L19" s="48">
        <f t="shared" si="5"/>
        <v>669900</v>
      </c>
      <c r="M19" s="37"/>
      <c r="N19" s="46"/>
      <c r="O19" s="47"/>
    </row>
    <row r="20" spans="1:15" ht="15">
      <c r="A20" s="39"/>
      <c r="B20" s="33" t="s">
        <v>48</v>
      </c>
      <c r="C20" s="105">
        <v>52903000</v>
      </c>
      <c r="D20" s="41">
        <f t="shared" si="2"/>
        <v>0.08453189244190319</v>
      </c>
      <c r="E20" s="110">
        <v>62846400</v>
      </c>
      <c r="F20" s="41">
        <f t="shared" si="0"/>
        <v>0.08432064126535703</v>
      </c>
      <c r="G20" s="111">
        <v>61985500</v>
      </c>
      <c r="H20" s="43">
        <f t="shared" si="1"/>
        <v>0.08536073484692204</v>
      </c>
      <c r="I20" s="104">
        <f t="shared" si="4"/>
        <v>59047000</v>
      </c>
      <c r="J20" s="41">
        <f t="shared" si="3"/>
        <v>0.08536073484692204</v>
      </c>
      <c r="K20" s="44"/>
      <c r="L20" s="48">
        <f t="shared" si="5"/>
        <v>6144000</v>
      </c>
      <c r="M20" s="37"/>
      <c r="N20" s="46"/>
      <c r="O20" s="47"/>
    </row>
    <row r="21" spans="1:15" ht="15">
      <c r="A21" s="39"/>
      <c r="B21" s="33" t="s">
        <v>49</v>
      </c>
      <c r="C21" s="105">
        <v>31198800</v>
      </c>
      <c r="D21" s="41">
        <f t="shared" si="2"/>
        <v>0.04985149435601855</v>
      </c>
      <c r="E21" s="110">
        <v>36607500</v>
      </c>
      <c r="F21" s="41">
        <f t="shared" si="0"/>
        <v>0.04911606512260937</v>
      </c>
      <c r="G21" s="111">
        <v>35281600</v>
      </c>
      <c r="H21" s="43">
        <f t="shared" si="1"/>
        <v>0.04858657754757426</v>
      </c>
      <c r="I21" s="104">
        <f t="shared" si="4"/>
        <v>33609000</v>
      </c>
      <c r="J21" s="41">
        <f t="shared" si="3"/>
        <v>0.04858657754757426</v>
      </c>
      <c r="K21" s="44"/>
      <c r="L21" s="48">
        <f t="shared" si="5"/>
        <v>2410200</v>
      </c>
      <c r="M21" s="37"/>
      <c r="N21" s="46"/>
      <c r="O21" s="47"/>
    </row>
    <row r="22" spans="1:15" ht="15">
      <c r="A22" s="39"/>
      <c r="B22" s="33" t="s">
        <v>50</v>
      </c>
      <c r="C22" s="105">
        <v>41288400</v>
      </c>
      <c r="D22" s="41">
        <f t="shared" si="2"/>
        <v>0.06597332075493405</v>
      </c>
      <c r="E22" s="110">
        <v>49711900</v>
      </c>
      <c r="F22" s="41">
        <f t="shared" si="0"/>
        <v>0.06669816069845372</v>
      </c>
      <c r="G22" s="111">
        <v>49050700</v>
      </c>
      <c r="H22" s="43">
        <f t="shared" si="1"/>
        <v>0.06754811684597073</v>
      </c>
      <c r="I22" s="104">
        <f t="shared" si="4"/>
        <v>46725400</v>
      </c>
      <c r="J22" s="41">
        <f t="shared" si="3"/>
        <v>0.06754811684597073</v>
      </c>
      <c r="K22" s="44"/>
      <c r="L22" s="48">
        <f t="shared" si="5"/>
        <v>5437000</v>
      </c>
      <c r="M22" s="37"/>
      <c r="N22" s="46"/>
      <c r="O22" s="47"/>
    </row>
    <row r="23" spans="1:15" ht="15">
      <c r="A23" s="39"/>
      <c r="B23" s="33" t="s">
        <v>51</v>
      </c>
      <c r="C23" s="105">
        <v>34143300</v>
      </c>
      <c r="D23" s="41">
        <f t="shared" si="2"/>
        <v>0.054556410094165425</v>
      </c>
      <c r="E23" s="110">
        <v>39632800</v>
      </c>
      <c r="F23" s="41">
        <f t="shared" si="0"/>
        <v>0.0531750921475477</v>
      </c>
      <c r="G23" s="111">
        <v>37932600</v>
      </c>
      <c r="H23" s="43">
        <f t="shared" si="1"/>
        <v>0.05223729115122658</v>
      </c>
      <c r="I23" s="104">
        <f t="shared" si="4"/>
        <v>36134400</v>
      </c>
      <c r="J23" s="41">
        <f t="shared" si="3"/>
        <v>0.05223729115122658</v>
      </c>
      <c r="K23" s="44"/>
      <c r="L23" s="48">
        <f t="shared" si="5"/>
        <v>1991100</v>
      </c>
      <c r="M23" s="37"/>
      <c r="N23" s="46"/>
      <c r="O23" s="47"/>
    </row>
    <row r="24" spans="1:15" ht="15">
      <c r="A24" s="39"/>
      <c r="B24" s="33" t="s">
        <v>52</v>
      </c>
      <c r="C24" s="105">
        <v>40341800</v>
      </c>
      <c r="D24" s="41">
        <f t="shared" si="2"/>
        <v>0.06446078102400186</v>
      </c>
      <c r="E24" s="110">
        <v>49165600</v>
      </c>
      <c r="F24" s="41">
        <f>E24/$E$32</f>
        <v>0.0659651932361446</v>
      </c>
      <c r="G24" s="111">
        <v>47454700</v>
      </c>
      <c r="H24" s="43">
        <f t="shared" si="1"/>
        <v>0.06535025229997711</v>
      </c>
      <c r="I24" s="104">
        <f t="shared" si="4"/>
        <v>45205000</v>
      </c>
      <c r="J24" s="41">
        <f t="shared" si="3"/>
        <v>0.06535025229997711</v>
      </c>
      <c r="K24" s="44"/>
      <c r="L24" s="48">
        <f t="shared" si="5"/>
        <v>4863200</v>
      </c>
      <c r="M24" s="37"/>
      <c r="N24" s="46"/>
      <c r="O24" s="47"/>
    </row>
    <row r="25" spans="1:15" ht="15">
      <c r="A25" s="39"/>
      <c r="B25" s="33" t="s">
        <v>53</v>
      </c>
      <c r="C25" s="105">
        <v>43742300</v>
      </c>
      <c r="D25" s="41">
        <f t="shared" si="2"/>
        <v>0.06989432354992084</v>
      </c>
      <c r="E25" s="110">
        <v>53499500</v>
      </c>
      <c r="F25" s="41">
        <f>E25/$E$32</f>
        <v>0.07177996110160595</v>
      </c>
      <c r="G25" s="111">
        <v>51300700</v>
      </c>
      <c r="H25" s="43">
        <f>G25/$G$32</f>
        <v>0.07064661009690158</v>
      </c>
      <c r="I25" s="104">
        <f t="shared" si="4"/>
        <v>48868700</v>
      </c>
      <c r="J25" s="41">
        <f t="shared" si="3"/>
        <v>0.07064661009690158</v>
      </c>
      <c r="K25" s="44"/>
      <c r="L25" s="48">
        <f t="shared" si="5"/>
        <v>5126400</v>
      </c>
      <c r="M25" s="37"/>
      <c r="N25" s="46"/>
      <c r="O25" s="47"/>
    </row>
    <row r="26" spans="1:15" ht="15">
      <c r="A26" s="39"/>
      <c r="B26" s="33" t="s">
        <v>54</v>
      </c>
      <c r="C26" s="105">
        <v>34907300</v>
      </c>
      <c r="D26" s="41">
        <f t="shared" si="2"/>
        <v>0.05577717953683624</v>
      </c>
      <c r="E26" s="110">
        <v>42500400</v>
      </c>
      <c r="F26" s="41">
        <f t="shared" si="0"/>
        <v>0.057022534019994464</v>
      </c>
      <c r="G26" s="111">
        <v>41399700</v>
      </c>
      <c r="H26" s="43">
        <f t="shared" si="1"/>
        <v>0.0570118626846943</v>
      </c>
      <c r="I26" s="104">
        <f t="shared" si="4"/>
        <v>39437100</v>
      </c>
      <c r="J26" s="41">
        <f t="shared" si="3"/>
        <v>0.0570118626846943</v>
      </c>
      <c r="K26" s="44"/>
      <c r="L26" s="48">
        <f t="shared" si="5"/>
        <v>4529800</v>
      </c>
      <c r="M26" s="37"/>
      <c r="N26" s="46"/>
      <c r="O26" s="47"/>
    </row>
    <row r="27" spans="1:15" ht="15">
      <c r="A27" s="39"/>
      <c r="B27" s="33" t="s">
        <v>55</v>
      </c>
      <c r="C27" s="105">
        <v>14682500</v>
      </c>
      <c r="D27" s="41">
        <f t="shared" si="2"/>
        <v>0.023460664060228033</v>
      </c>
      <c r="E27" s="110">
        <v>17733300</v>
      </c>
      <c r="F27" s="41">
        <f t="shared" si="0"/>
        <v>0.023792663187564535</v>
      </c>
      <c r="G27" s="111">
        <v>16480200</v>
      </c>
      <c r="H27" s="43">
        <f t="shared" si="1"/>
        <v>0.02269501709955142</v>
      </c>
      <c r="I27" s="104">
        <f t="shared" si="4"/>
        <v>15698900</v>
      </c>
      <c r="J27" s="41">
        <f t="shared" si="3"/>
        <v>0.02269501709955142</v>
      </c>
      <c r="K27" s="44"/>
      <c r="L27" s="48">
        <f t="shared" si="5"/>
        <v>1016400</v>
      </c>
      <c r="M27" s="37"/>
      <c r="N27" s="46"/>
      <c r="O27" s="47"/>
    </row>
    <row r="28" spans="1:15" ht="15">
      <c r="A28" s="39"/>
      <c r="B28" s="33" t="s">
        <v>56</v>
      </c>
      <c r="C28" s="105">
        <v>14289900</v>
      </c>
      <c r="D28" s="41">
        <f t="shared" si="2"/>
        <v>0.022833341961808452</v>
      </c>
      <c r="E28" s="110">
        <v>17033000</v>
      </c>
      <c r="F28" s="41">
        <f t="shared" si="0"/>
        <v>0.022853074840767748</v>
      </c>
      <c r="G28" s="111">
        <v>17775600</v>
      </c>
      <c r="H28" s="43">
        <f t="shared" si="1"/>
        <v>0.02447892294722068</v>
      </c>
      <c r="I28" s="104">
        <f t="shared" si="4"/>
        <v>16932900</v>
      </c>
      <c r="J28" s="41">
        <f t="shared" si="3"/>
        <v>0.02447892294722068</v>
      </c>
      <c r="K28" s="44"/>
      <c r="L28" s="48">
        <f t="shared" si="5"/>
        <v>2643000</v>
      </c>
      <c r="M28" s="37"/>
      <c r="N28" s="46"/>
      <c r="O28" s="47"/>
    </row>
    <row r="29" spans="1:15" ht="15">
      <c r="A29" s="39"/>
      <c r="B29" s="33" t="s">
        <v>57</v>
      </c>
      <c r="C29" s="105">
        <v>9644100</v>
      </c>
      <c r="D29" s="41">
        <f t="shared" si="2"/>
        <v>0.015409977201651298</v>
      </c>
      <c r="E29" s="110">
        <v>11662800</v>
      </c>
      <c r="F29" s="41">
        <f t="shared" si="0"/>
        <v>0.015647909425991084</v>
      </c>
      <c r="G29" s="111">
        <v>11756900</v>
      </c>
      <c r="H29" s="43">
        <f t="shared" si="1"/>
        <v>0.016190522356386215</v>
      </c>
      <c r="I29" s="104">
        <f t="shared" si="4"/>
        <v>11199500</v>
      </c>
      <c r="J29" s="41">
        <f t="shared" si="3"/>
        <v>0.016190522356386215</v>
      </c>
      <c r="K29" s="44"/>
      <c r="L29" s="48">
        <f t="shared" si="5"/>
        <v>1555400</v>
      </c>
      <c r="M29" s="37"/>
      <c r="N29" s="46"/>
      <c r="O29" s="47"/>
    </row>
    <row r="30" spans="1:15" ht="15">
      <c r="A30" s="39"/>
      <c r="B30" s="33" t="s">
        <v>58</v>
      </c>
      <c r="C30" s="105">
        <v>14726500</v>
      </c>
      <c r="D30" s="41">
        <f t="shared" si="2"/>
        <v>0.023530970153784993</v>
      </c>
      <c r="E30" s="110">
        <v>18518900</v>
      </c>
      <c r="F30" s="41">
        <f t="shared" si="0"/>
        <v>0.0248466980372626</v>
      </c>
      <c r="G30" s="111">
        <v>18148600</v>
      </c>
      <c r="H30" s="43">
        <f t="shared" si="1"/>
        <v>0.02499258427281944</v>
      </c>
      <c r="I30" s="104">
        <f t="shared" si="4"/>
        <v>17288200</v>
      </c>
      <c r="J30" s="41">
        <f t="shared" si="3"/>
        <v>0.02499258427281944</v>
      </c>
      <c r="K30" s="44"/>
      <c r="L30" s="48">
        <f t="shared" si="5"/>
        <v>2561700</v>
      </c>
      <c r="M30" s="37"/>
      <c r="N30" s="46"/>
      <c r="O30" s="47"/>
    </row>
    <row r="31" spans="1:15" ht="15">
      <c r="A31" s="39"/>
      <c r="B31" s="33"/>
      <c r="C31" s="52"/>
      <c r="D31" s="50"/>
      <c r="E31" s="38"/>
      <c r="F31" s="51"/>
      <c r="G31" s="38"/>
      <c r="H31" s="49"/>
      <c r="I31" s="52"/>
      <c r="J31" s="51"/>
      <c r="K31" s="53"/>
      <c r="L31" s="48"/>
      <c r="M31" s="37"/>
      <c r="N31" s="46"/>
      <c r="O31" s="46"/>
    </row>
    <row r="32" spans="1:15" ht="15">
      <c r="A32" s="54"/>
      <c r="B32" s="55" t="s">
        <v>22</v>
      </c>
      <c r="C32" s="57">
        <f aca="true" t="shared" si="6" ref="C32:J32">SUM(C8:C30)</f>
        <v>625834800</v>
      </c>
      <c r="D32" s="56">
        <f t="shared" si="6"/>
        <v>1</v>
      </c>
      <c r="E32" s="57">
        <f t="shared" si="6"/>
        <v>745326400</v>
      </c>
      <c r="F32" s="58">
        <f t="shared" si="6"/>
        <v>0.9999999999999998</v>
      </c>
      <c r="G32" s="57">
        <f t="shared" si="6"/>
        <v>726159400</v>
      </c>
      <c r="H32" s="56">
        <f t="shared" si="6"/>
        <v>1</v>
      </c>
      <c r="I32" s="57">
        <f>SUM(I8:I31)</f>
        <v>691734800</v>
      </c>
      <c r="J32" s="58">
        <f t="shared" si="6"/>
        <v>1</v>
      </c>
      <c r="K32" s="59"/>
      <c r="L32" s="60">
        <f>SUM(L8:L31)</f>
        <v>65900000</v>
      </c>
      <c r="M32" s="61"/>
      <c r="N32" s="63"/>
      <c r="O32" s="62"/>
    </row>
    <row r="33" spans="3:15" ht="12.75">
      <c r="C33" s="64"/>
      <c r="D33" s="64"/>
      <c r="E33" s="64"/>
      <c r="F33" s="65"/>
      <c r="G33" s="64"/>
      <c r="H33" s="64"/>
      <c r="I33" s="63"/>
      <c r="J33" s="64"/>
      <c r="K33" s="64"/>
      <c r="L33" s="64"/>
      <c r="M33" s="63"/>
      <c r="O33" s="71"/>
    </row>
    <row r="34" spans="3:15" ht="12.75">
      <c r="C34" s="66"/>
      <c r="I34" s="66"/>
      <c r="J34" s="66"/>
      <c r="K34" s="66"/>
      <c r="L34" s="66"/>
      <c r="O34" s="71"/>
    </row>
    <row r="35" spans="3:12" ht="12.75">
      <c r="C35" s="107"/>
      <c r="I35" s="66"/>
      <c r="L35" s="66"/>
    </row>
    <row r="36" ht="12.75">
      <c r="C36" s="66"/>
    </row>
  </sheetData>
  <sheetProtection/>
  <mergeCells count="5">
    <mergeCell ref="E4:M4"/>
    <mergeCell ref="E5:F5"/>
    <mergeCell ref="I5:J5"/>
    <mergeCell ref="K5:M5"/>
    <mergeCell ref="C5:D5"/>
  </mergeCells>
  <printOptions/>
  <pageMargins left="0.5" right="0.5" top="0.5" bottom="0.5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Kemsley, Chris</cp:lastModifiedBy>
  <cp:lastPrinted>2012-02-14T22:13:30Z</cp:lastPrinted>
  <dcterms:created xsi:type="dcterms:W3CDTF">2005-01-20T22:46:37Z</dcterms:created>
  <dcterms:modified xsi:type="dcterms:W3CDTF">2018-11-15T22:28:20Z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7b037c35-777b-457f-9f00-4cf70449ee5e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72WVDYXX2UNK-1717399031-168</vt:lpwstr>
  </property>
  <property fmtid="{D5CDD505-2E9C-101B-9397-08002B2CF9AE}" pid="7" name="_dlc_DocIdUrl">
    <vt:lpwstr>https://update.calstate.edu/csu-system/about-the-csu/budget/_layouts/15/DocIdRedir.aspx?ID=72WVDYXX2UNK-1717399031-168, 72WVDYXX2UNK-1717399031-168</vt:lpwstr>
  </property>
</Properties>
</file>