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570" windowHeight="9855" tabRatio="569" activeTab="0"/>
  </bookViews>
  <sheets>
    <sheet name="(A) Budget Summary" sheetId="1" r:id="rId1"/>
    <sheet name="(B) Base Bud Adj" sheetId="2" r:id="rId2"/>
    <sheet name="(C) 12-13 Expenditure Adjust." sheetId="3" r:id="rId3"/>
    <sheet name="(D) Tuition Fee Revenue" sheetId="4" r:id="rId4"/>
    <sheet name="(E) Tuit Fee Disc-GF Adjust" sheetId="5" r:id="rId5"/>
    <sheet name="(F) Tuit Fee Discounts" sheetId="6" r:id="rId6"/>
  </sheets>
  <definedNames>
    <definedName name="_xlnm.Print_Area" localSheetId="0">'(A) Budget Summary'!$A$1:$Y$45</definedName>
    <definedName name="_xlnm.Print_Area" localSheetId="1">'(B) Base Bud Adj'!$A$1:$V$45</definedName>
    <definedName name="_xlnm.Print_Area" localSheetId="2">'(C) 12-13 Expenditure Adjust.'!$A$1:$Q$44</definedName>
    <definedName name="_xlnm.Print_Area" localSheetId="3">'(D) Tuition Fee Revenue'!$A$1:$O$44</definedName>
    <definedName name="_xlnm.Print_Area" localSheetId="4">'(E) Tuit Fee Disc-GF Adjust'!$A$1:$P$43</definedName>
    <definedName name="_xlnm.Print_Area" localSheetId="5">'(F) Tuit Fee Discounts'!$A$1:$M$34</definedName>
    <definedName name="_xlnm.Print_Titles" localSheetId="3">'(D) Tuition Fee Revenue'!$A:$A,'(D) Tuition Fee Revenue'!$1:$4</definedName>
    <definedName name="_xlnm.Print_Titles" localSheetId="4">'(E) Tuit Fee Disc-GF Adjust'!$A:$A,'(E) Tuit Fee Disc-GF Adjust'!$1:$4</definedName>
  </definedNames>
  <calcPr fullCalcOnLoad="1"/>
</workbook>
</file>

<file path=xl/comments2.xml><?xml version="1.0" encoding="utf-8"?>
<comments xmlns="http://schemas.openxmlformats.org/spreadsheetml/2006/main">
  <authors>
    <author>Canfield, Chris</author>
  </authors>
  <commentList>
    <comment ref="H38" authorId="0">
      <text>
        <r>
          <rPr>
            <b/>
            <sz val="9"/>
            <rFont val="Tahoma"/>
            <family val="0"/>
          </rPr>
          <t>Canfield, Chris:</t>
        </r>
        <r>
          <rPr>
            <sz val="9"/>
            <rFont val="Tahoma"/>
            <family val="0"/>
          </rPr>
          <t xml:space="preserve">
$63 to round to 2012/13 enacted state budget total in 1,000s</t>
        </r>
      </text>
    </comment>
  </commentList>
</comments>
</file>

<file path=xl/comments4.xml><?xml version="1.0" encoding="utf-8"?>
<comments xmlns="http://schemas.openxmlformats.org/spreadsheetml/2006/main">
  <authors>
    <author>Canfield, Chris</author>
  </authors>
  <commentList>
    <comment ref="N17" authorId="0">
      <text>
        <r>
          <rPr>
            <b/>
            <sz val="9"/>
            <rFont val="Tahoma"/>
            <family val="2"/>
          </rPr>
          <t>Canfield, Chris:</t>
        </r>
        <r>
          <rPr>
            <sz val="9"/>
            <rFont val="Tahoma"/>
            <family val="2"/>
          </rPr>
          <t xml:space="preserve">
+$1K for rounding</t>
        </r>
      </text>
    </comment>
  </commentList>
</comments>
</file>

<file path=xl/comments5.xml><?xml version="1.0" encoding="utf-8"?>
<comments xmlns="http://schemas.openxmlformats.org/spreadsheetml/2006/main">
  <authors>
    <author>Canfield, Chris</author>
  </authors>
  <commentList>
    <comment ref="K17" authorId="0">
      <text>
        <r>
          <rPr>
            <b/>
            <sz val="9"/>
            <rFont val="Tahoma"/>
            <family val="2"/>
          </rPr>
          <t>Canfield, Chris:</t>
        </r>
        <r>
          <rPr>
            <sz val="9"/>
            <rFont val="Tahoma"/>
            <family val="2"/>
          </rPr>
          <t xml:space="preserve">
+$1K for rounding</t>
        </r>
      </text>
    </comment>
  </commentList>
</comments>
</file>

<file path=xl/sharedStrings.xml><?xml version="1.0" encoding="utf-8"?>
<sst xmlns="http://schemas.openxmlformats.org/spreadsheetml/2006/main" count="334" uniqueCount="191">
  <si>
    <t>Bakersfield</t>
  </si>
  <si>
    <t>Channel Islands</t>
  </si>
  <si>
    <t>Chico</t>
  </si>
  <si>
    <t>Dominguez Hills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</si>
  <si>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</si>
  <si>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</si>
  <si>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</si>
  <si>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</si>
  <si>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</si>
  <si>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</si>
  <si>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</si>
  <si>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</si>
  <si>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</si>
  <si>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</si>
  <si>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</si>
  <si>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</si>
  <si>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</si>
  <si>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</si>
  <si>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</si>
  <si>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</si>
  <si>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</si>
  <si>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</si>
  <si>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</si>
  <si>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</si>
  <si>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International Programs</t>
  </si>
  <si>
    <t>Summer Arts</t>
  </si>
  <si>
    <t>Systemwide Provisions</t>
  </si>
  <si>
    <t>CSU System Total</t>
  </si>
  <si>
    <t>East Bay</t>
  </si>
  <si>
    <t>CalStateTeach</t>
  </si>
  <si>
    <t>Energy</t>
  </si>
  <si>
    <t>Health</t>
  </si>
  <si>
    <t>Campus</t>
  </si>
  <si>
    <t>Unadjusted Other Fee Revenue and Reim.</t>
  </si>
  <si>
    <t>Grand Total</t>
  </si>
  <si>
    <t>$</t>
  </si>
  <si>
    <t>%</t>
  </si>
  <si>
    <t xml:space="preserve">Bakersfield       </t>
  </si>
  <si>
    <t xml:space="preserve">Chico             </t>
  </si>
  <si>
    <t xml:space="preserve">Dominguez Hills   </t>
  </si>
  <si>
    <t xml:space="preserve">Fresno            </t>
  </si>
  <si>
    <t xml:space="preserve">Fullerton         </t>
  </si>
  <si>
    <t xml:space="preserve">Humboldt          </t>
  </si>
  <si>
    <t xml:space="preserve">Long Beach        </t>
  </si>
  <si>
    <t xml:space="preserve">Los Angeles       </t>
  </si>
  <si>
    <t xml:space="preserve">Northridge        </t>
  </si>
  <si>
    <t xml:space="preserve">Pomona            </t>
  </si>
  <si>
    <t xml:space="preserve">Sacramento        </t>
  </si>
  <si>
    <t xml:space="preserve">San Bernardino    </t>
  </si>
  <si>
    <t xml:space="preserve">San Diego         </t>
  </si>
  <si>
    <t xml:space="preserve">San Francisco     </t>
  </si>
  <si>
    <t xml:space="preserve">San Jose          </t>
  </si>
  <si>
    <t xml:space="preserve">San Luis Obispo   </t>
  </si>
  <si>
    <t xml:space="preserve">San Marcos        </t>
  </si>
  <si>
    <t xml:space="preserve">Sonoma            </t>
  </si>
  <si>
    <t xml:space="preserve">Stanislaus        </t>
  </si>
  <si>
    <t>(Cols. 2 - 1)</t>
  </si>
  <si>
    <t>(a)</t>
  </si>
  <si>
    <t>General Fund</t>
  </si>
  <si>
    <t>GF Base Adjustments</t>
  </si>
  <si>
    <t>2012/13 Budget Adjustments</t>
  </si>
  <si>
    <t>2012/13 General Fund Base Adjustments</t>
  </si>
  <si>
    <t xml:space="preserve">(b) </t>
  </si>
  <si>
    <t>(c)</t>
  </si>
  <si>
    <t>(Sum Cols. a-c)</t>
  </si>
  <si>
    <t>(6)</t>
  </si>
  <si>
    <t>(4)</t>
  </si>
  <si>
    <t>(5)</t>
  </si>
  <si>
    <t>(7)</t>
  </si>
  <si>
    <t>(8)</t>
  </si>
  <si>
    <t>(11)</t>
  </si>
  <si>
    <t>(12)</t>
  </si>
  <si>
    <t>(13)</t>
  </si>
  <si>
    <t>(14)</t>
  </si>
  <si>
    <r>
      <t xml:space="preserve">2012/13 Resident FTES </t>
    </r>
    <r>
      <rPr>
        <vertAlign val="superscript"/>
        <sz val="10"/>
        <rFont val="Times New Roman"/>
        <family val="1"/>
      </rPr>
      <t>1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</si>
  <si>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For purposes of 2012/13 budget allocations, there is no change in number of resident full-time equivalent students from 2011/12 budget targets.  The nonresident FTES is equal to the 2010/11 actual FTES.</t>
    </r>
  </si>
  <si>
    <t>Total Mandatory Cost Increases</t>
  </si>
  <si>
    <t>Reserve for Trigger</t>
  </si>
  <si>
    <r>
      <t xml:space="preserve">2012/13 Projected Mandatory Cost Increases </t>
    </r>
    <r>
      <rPr>
        <b/>
        <vertAlign val="superscript"/>
        <sz val="12"/>
        <rFont val="Times New Roman"/>
        <family val="1"/>
      </rPr>
      <t>1</t>
    </r>
  </si>
  <si>
    <r>
      <t>2012/13 Gross Budget Allocation</t>
    </r>
  </si>
  <si>
    <t>2011/12 $100M Mid-Year GF Trigger Reduction</t>
  </si>
  <si>
    <r>
      <t xml:space="preserve">New Space Need </t>
    </r>
    <r>
      <rPr>
        <vertAlign val="superscript"/>
        <sz val="11"/>
        <color indexed="8"/>
        <rFont val="Times New Roman"/>
        <family val="1"/>
      </rPr>
      <t>2</t>
    </r>
  </si>
  <si>
    <r>
      <t>Other Fee Revenue and SWP Reim.</t>
    </r>
    <r>
      <rPr>
        <vertAlign val="superscript"/>
        <sz val="11"/>
        <rFont val="Times New Roman"/>
        <family val="1"/>
      </rPr>
      <t>1</t>
    </r>
  </si>
  <si>
    <r>
      <t xml:space="preserve">General Fund Allocation </t>
    </r>
  </si>
  <si>
    <r>
      <t xml:space="preserve">2011/12 Retirement Adjustment </t>
    </r>
    <r>
      <rPr>
        <vertAlign val="superscript"/>
        <sz val="11"/>
        <rFont val="Times New Roman"/>
        <family val="1"/>
      </rPr>
      <t>1</t>
    </r>
  </si>
  <si>
    <t>2012/13 Tuition Fee Rate Change (BOT RFIN 11-11-14) Applied to Academic Year</t>
  </si>
  <si>
    <t>Revised 2011/12 General Fund Base</t>
  </si>
  <si>
    <t>(Cols. 1 + 2 + 3)</t>
  </si>
  <si>
    <t>(Cols. 2 + 3 + 5 + 6)</t>
  </si>
  <si>
    <t>(Attach. B, Col. 8)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</si>
  <si>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Campus 2011/12 CalPERS employer-paid retirement rate adjustments reflect the difference between the 2010/11 composite (July 2010 &amp; Jan. 2011) rates funded by the state during 2010/11 and the new 2011/12 rates; the additional SWP adjustment reconciles the applicable CSU 2011/12 GF appropriation that was based upon the difference between the higher July 2010 rates applied to the full year and the new 2011/12 rates. </t>
    </r>
  </si>
  <si>
    <t>(2)</t>
  </si>
  <si>
    <t>(3)</t>
  </si>
  <si>
    <t>(Cols. 1 + 7)</t>
  </si>
  <si>
    <t>For Information Only</t>
  </si>
  <si>
    <t>Other Base Adjustments</t>
  </si>
  <si>
    <t>2011/12 B 2011-01 General Fund Allocation</t>
  </si>
  <si>
    <t>B 2011-02 General Fund Allocation</t>
  </si>
  <si>
    <t>Represents other CSU Operating Fund fee revenue besides tuition fee; the only reimbursement shown is lease revenue bond payments in SWPs.</t>
  </si>
  <si>
    <t>(1)</t>
  </si>
  <si>
    <t>(EVC/CFO 5/25/12 Memo to CABO)</t>
  </si>
  <si>
    <t>Resident</t>
  </si>
  <si>
    <t>Nonresident</t>
  </si>
  <si>
    <t>2011/12 Tuition Fee Rate Change  Applied to 2012 Summer Term</t>
  </si>
  <si>
    <r>
      <t xml:space="preserve">2011/12 Tuition Fee Rates Applied to Change in Student Enrollment Patterns 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</si>
  <si>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This represents the change in actual student enrollment patterns from 2009/10 to 2010/11 (past-year actual).</t>
    </r>
  </si>
  <si>
    <t>2011/12 Tuition Fee Rates Applied to Change in Student Enrollment Patterns</t>
  </si>
  <si>
    <t>2012/13 NET Tuition Fee Revenue Projection after Tuition Fee Discounts</t>
  </si>
  <si>
    <t>Non-resident</t>
  </si>
  <si>
    <t>(Attach. A, Col. 2)</t>
  </si>
  <si>
    <t>(Cols. 3 + 4)</t>
  </si>
  <si>
    <t>(Cols. 5 + 6)</t>
  </si>
  <si>
    <t>(Cols. 7 + 8)</t>
  </si>
  <si>
    <t>(Cols. 9 + 10 + 11)</t>
  </si>
  <si>
    <t>(-1/3rd of Cols. 10 + 11)</t>
  </si>
  <si>
    <t>(Cols. 12 + 13)</t>
  </si>
  <si>
    <t>(Cols. 1 + 2)</t>
  </si>
  <si>
    <t>(Attach. F, Col. 1)</t>
  </si>
  <si>
    <t>(Attach. D, Col. 13)</t>
  </si>
  <si>
    <t xml:space="preserve">2011/12 Campus Reported Tuition Fee Revenue </t>
  </si>
  <si>
    <r>
      <t xml:space="preserve">2012/13 Projected GROSS Tuition Fee Revenue with </t>
    </r>
    <r>
      <rPr>
        <b/>
        <u val="single"/>
        <sz val="11"/>
        <rFont val="Times New Roman"/>
        <family val="1"/>
      </rPr>
      <t>ALL</t>
    </r>
    <r>
      <rPr>
        <b/>
        <sz val="11"/>
        <rFont val="Times New Roman"/>
        <family val="1"/>
      </rPr>
      <t xml:space="preserve"> Adjustments</t>
    </r>
  </si>
  <si>
    <t>(Attach. D, Cols. 10 + 11)</t>
  </si>
  <si>
    <t>(Cols. 4 + 5)</t>
  </si>
  <si>
    <t>(Col. 2 - Attach. E, Col. 4)</t>
  </si>
  <si>
    <t>(Attach. B, Col. 7)</t>
  </si>
  <si>
    <t>(Attach. D, Col. 12)</t>
  </si>
  <si>
    <t>(Attach. D, Col. 14)</t>
  </si>
  <si>
    <t>(Cols. 1 + 5 + 6 + 7)</t>
  </si>
  <si>
    <t>(Cols. 2 + 8)</t>
  </si>
  <si>
    <t>Tuition Fees</t>
  </si>
  <si>
    <t>(Sum of Cols. 1-3)</t>
  </si>
  <si>
    <t>GF Tuition Fee Discount Adjustment based on Campus Relative Student Need</t>
  </si>
  <si>
    <t>(Cols. 13 + 14)</t>
  </si>
  <si>
    <t>(Cols. 9 + 11 +15)</t>
  </si>
  <si>
    <t>GF Expenditure Adjustments       (-$250M Trigger)</t>
  </si>
  <si>
    <r>
      <t>2012/13 Tuition Fee Revenue Adjustment (</t>
    </r>
    <r>
      <rPr>
        <u val="single"/>
        <sz val="10"/>
        <rFont val="Times New Roman"/>
        <family val="1"/>
      </rPr>
      <t>before</t>
    </r>
    <r>
      <rPr>
        <sz val="10"/>
        <rFont val="Times New Roman"/>
        <family val="1"/>
      </rPr>
      <t xml:space="preserve"> tuition fee discounts)</t>
    </r>
  </si>
  <si>
    <r>
      <t xml:space="preserve">Tuition Fee Revenue </t>
    </r>
    <r>
      <rPr>
        <sz val="10"/>
        <rFont val="Times New Roman"/>
        <family val="1"/>
      </rPr>
      <t>(</t>
    </r>
    <r>
      <rPr>
        <u val="single"/>
        <sz val="10"/>
        <rFont val="Times New Roman"/>
        <family val="1"/>
      </rPr>
      <t>before</t>
    </r>
    <r>
      <rPr>
        <sz val="10"/>
        <rFont val="Times New Roman"/>
        <family val="1"/>
      </rPr>
      <t xml:space="preserve"> tuition fee discounts)</t>
    </r>
  </si>
  <si>
    <r>
      <t>Campus Reported Tuition Fee Revenue</t>
    </r>
    <r>
      <rPr>
        <sz val="10"/>
        <rFont val="Times New Roman"/>
        <family val="1"/>
      </rPr>
      <t xml:space="preserve"> (</t>
    </r>
    <r>
      <rPr>
        <u val="single"/>
        <sz val="10"/>
        <rFont val="Times New Roman"/>
        <family val="1"/>
      </rPr>
      <t>before</t>
    </r>
    <r>
      <rPr>
        <sz val="10"/>
        <rFont val="Times New Roman"/>
        <family val="1"/>
      </rPr>
      <t xml:space="preserve"> tuition fee discounts)</t>
    </r>
  </si>
  <si>
    <r>
      <t xml:space="preserve">Campus Reported Tuition Fee Revenue </t>
    </r>
  </si>
  <si>
    <t>2012/13 Tuition Fee Revenue Adjustment</t>
  </si>
  <si>
    <r>
      <t xml:space="preserve">Tuition Fee Revenue </t>
    </r>
  </si>
  <si>
    <r>
      <rPr>
        <b/>
        <sz val="11"/>
        <color indexed="8"/>
        <rFont val="Times New Roman"/>
        <family val="1"/>
      </rPr>
      <t>2012/13 General Fund Base</t>
    </r>
    <r>
      <rPr>
        <b/>
        <sz val="9.5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(</t>
    </r>
    <r>
      <rPr>
        <b/>
        <u val="single"/>
        <sz val="9"/>
        <color indexed="8"/>
        <rFont val="Times New Roman"/>
        <family val="1"/>
      </rPr>
      <t>before</t>
    </r>
    <r>
      <rPr>
        <b/>
        <sz val="9"/>
        <color indexed="8"/>
        <rFont val="Times New Roman"/>
        <family val="1"/>
      </rPr>
      <t xml:space="preserve"> Tuition Fee Discount Adjustment and $250M trigger reduction) </t>
    </r>
  </si>
  <si>
    <r>
      <t>2012/13 General Fund Base</t>
    </r>
    <r>
      <rPr>
        <sz val="9"/>
        <color indexed="8"/>
        <rFont val="Times New Roman"/>
        <family val="1"/>
      </rPr>
      <t xml:space="preserve"> (</t>
    </r>
    <r>
      <rPr>
        <u val="single"/>
        <sz val="9"/>
        <color indexed="8"/>
        <rFont val="Times New Roman"/>
        <family val="1"/>
      </rPr>
      <t>before</t>
    </r>
    <r>
      <rPr>
        <sz val="9"/>
        <color indexed="8"/>
        <rFont val="Times New Roman"/>
        <family val="1"/>
      </rPr>
      <t xml:space="preserve"> $250M trigger reduction and Attach. E. Tuition Fee Discount) </t>
    </r>
  </si>
  <si>
    <r>
      <t xml:space="preserve">2012/13 General Fund Base </t>
    </r>
    <r>
      <rPr>
        <sz val="9"/>
        <color indexed="8"/>
        <rFont val="Times New Roman"/>
        <family val="1"/>
      </rPr>
      <t xml:space="preserve">(after $250M trigger reduction / </t>
    </r>
    <r>
      <rPr>
        <u val="single"/>
        <sz val="9"/>
        <color indexed="8"/>
        <rFont val="Times New Roman"/>
        <family val="1"/>
      </rPr>
      <t>before</t>
    </r>
    <r>
      <rPr>
        <sz val="9"/>
        <color indexed="8"/>
        <rFont val="Times New Roman"/>
        <family val="1"/>
      </rPr>
      <t xml:space="preserve"> Attach. E. Tuition Fee Discount) </t>
    </r>
  </si>
  <si>
    <t>(Attach. C, Col. 2)</t>
  </si>
  <si>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Based on 2012/13 new space need only @ $10.02 per square foot. </t>
    </r>
  </si>
  <si>
    <t xml:space="preserve">Tuition Fee Discount Requirements  </t>
  </si>
  <si>
    <t>(Col. 5 + Attach. F, Col. 3)</t>
  </si>
  <si>
    <t>(Attach. E, Col. 6)</t>
  </si>
  <si>
    <t>ATTACHMENT A - 2012/13 Enacted State Budget Allocations, Gross Budget Summary</t>
  </si>
  <si>
    <t>2011/12 FIRMS Final Budget Detail</t>
  </si>
  <si>
    <t>Campus Reported Gross                              Final Budget</t>
  </si>
  <si>
    <t xml:space="preserve">2012/13 Enacted State Budget Projected Allocation Available </t>
  </si>
  <si>
    <t>Campus 2012/13 FIRMS Enacted State Budget submissions should be based on tuition fee revenue before tuition fee discounts.</t>
  </si>
  <si>
    <t xml:space="preserve">Gross 2012/13 CSU Enacted State Budget Allocation Totals </t>
  </si>
  <si>
    <t xml:space="preserve">ATTACHMENT B - 2012/13 Enacted State Budget Allocation Base Adjustments </t>
  </si>
  <si>
    <t xml:space="preserve">Enacted State Budget $250 Million Trigger Reduction </t>
  </si>
  <si>
    <t>2012/13 Enacted State Budget, Gross Tuition Fee Revenue Adjustments (before Tuition Fee Discounts)</t>
  </si>
  <si>
    <t xml:space="preserve">ATTACHMENT D -- 2012/13 Enacted State Budget Allocations, Tuition Fee Revenue Adjustments </t>
  </si>
  <si>
    <t>B 2011-02 Final Budget Allocations</t>
  </si>
  <si>
    <t>ATTACHMENT C - 2012/13 Enacted State Budget Allocation, -$250 Million Trigger GF Expenditure Adjustment</t>
  </si>
  <si>
    <t xml:space="preserve">Tuition Fee Revenue Projections </t>
  </si>
  <si>
    <t>Gross Tuition Fee Revenue with 2012/13 Rate Increases Only</t>
  </si>
  <si>
    <t>Increase in Tuition Fee Discounts (Foregone Revenue) from 2012/13 Tuition Fee Rate Increases</t>
  </si>
  <si>
    <t>General Fund Tuition Fee Discount Adjustments based on Campus Relative Student Need</t>
  </si>
  <si>
    <r>
      <t>2012/13 Tuition Fee Revenue Adjustments from Rate Increases</t>
    </r>
    <r>
      <rPr>
        <sz val="9"/>
        <rFont val="Times New Roman"/>
        <family val="1"/>
      </rPr>
      <t xml:space="preserve"> (not including enrollment pattern adjustments)</t>
    </r>
  </si>
  <si>
    <t>ATTACHMENT E -- 2012/13 Enacted State Budget Allocations, Tuition Fee Discounts (Foregone Revenue) and General Fund Adjustment</t>
  </si>
  <si>
    <t>2012/13 Tuition Fee Discount Adjustments based on 331,716 Resident FTES</t>
  </si>
  <si>
    <r>
      <t>(Campus FIRMS Enacted State Budget submissions amounts</t>
    </r>
    <r>
      <rPr>
        <i/>
        <vertAlign val="superscript"/>
        <sz val="11"/>
        <rFont val="Times New Roman"/>
        <family val="1"/>
      </rPr>
      <t>2</t>
    </r>
    <r>
      <rPr>
        <i/>
        <sz val="11"/>
        <rFont val="Times New Roman"/>
        <family val="1"/>
      </rPr>
      <t>)</t>
    </r>
  </si>
  <si>
    <t>2012/13 Enacted State Budget, Net Tuition Fee Revenue with ALL Adjustments (including Tuition Fee Discounts)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</si>
  <si>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Includes $33.8 million grants funded by General Fund appropriation.</t>
    </r>
  </si>
  <si>
    <r>
      <t>2011/12 Final Budget, Total Tuition Fee Discounts (Foregone Revenue and GF Grants</t>
    </r>
    <r>
      <rPr>
        <vertAlign val="superscript"/>
        <sz val="11"/>
        <rFont val="Times New Roman"/>
        <family val="1"/>
      </rPr>
      <t>1)</t>
    </r>
  </si>
  <si>
    <r>
      <t>2012/13 Enacted State Budget, Total Tuition Fee Discounts (Foregone Revenue and GF Grants</t>
    </r>
    <r>
      <rPr>
        <vertAlign val="superscript"/>
        <sz val="11"/>
        <rFont val="Times New Roman"/>
        <family val="1"/>
      </rPr>
      <t>1)</t>
    </r>
  </si>
  <si>
    <r>
      <t>2012/13 Enacted State Budget Allocations Total Tuition Fee Discounts (Foregone Revenue) and GF Grants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/ 100% Distributed Based on Need</t>
    </r>
  </si>
  <si>
    <t>Tuition Fee Discounts Academic Year (AY) Eligibility Based on 2010/11 Final Database With 2012/13 Fee Levels</t>
  </si>
  <si>
    <t>Tuition Fee Discounts AY Eligibility Further Adjusted to Reflect Funded Enrollment Targets from 2010/11 to 2012/13</t>
  </si>
  <si>
    <t xml:space="preserve">ATTACHMENT F - 2012/13 Enacted State Budget Allocations, Tuition Fee Discounts Adjustment </t>
  </si>
  <si>
    <t>2012/13 Enacted State Budget Allocations Tuition Fee Discounts Increase</t>
  </si>
  <si>
    <t xml:space="preserve">2012/13 Enacted State Budget, Increase in Tuition Fee Discounts </t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</si>
  <si>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The $250M trigger reduction has been allocated on the same gross budget General Fund and tuition fee revenue projection less tuition fee discounts as in the Governor's Budget allocations $200M reduction with an additional adjustment to campus percentage share of the reduction to reflect $20M fixed cost gross budget discount at each of 23 campuses and a reallocation of approximately $2M of reductions from the C.O. to the CSU's smallest campuses. </t>
    </r>
  </si>
  <si>
    <t>Coded Memo B 2012-02, July 19, 2012</t>
  </si>
  <si>
    <t xml:space="preserve">                    (After Tuition Fee Discounts)</t>
  </si>
  <si>
    <r>
      <t xml:space="preserve">Campus Operating Revenue State Interest Assessment </t>
    </r>
    <r>
      <rPr>
        <vertAlign val="superscript"/>
        <sz val="11"/>
        <rFont val="Times New Roman"/>
        <family val="1"/>
      </rPr>
      <t>3</t>
    </r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</si>
  <si>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Mandatory cost increases provided for information only in 2012/13 Enacted State Budget allocations.  </t>
    </r>
  </si>
  <si>
    <r>
      <t xml:space="preserve">2012/13 Non-resident FTES </t>
    </r>
    <r>
      <rPr>
        <vertAlign val="superscript"/>
        <sz val="10"/>
        <rFont val="Times New Roman"/>
        <family val="1"/>
      </rPr>
      <t>1</t>
    </r>
  </si>
  <si>
    <t>2012/13 Tuition Fee Rate Change (BOT RFIN 11-11-14) Applied to 2012/13 Academic Year</t>
  </si>
  <si>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Includes lease revenue bond adjustments (-$50,000 in 2011/12; $5,545,000 in 2012/13); annuitants' dental adjustment ($1,096,000), and campus reduction offsets and public safety supplement (-$3,229,505). </t>
    </r>
  </si>
  <si>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The total CSU 2012/13 assessment ($2,217,000) represents a $1.309M adjustment to the 2011/12 $3.526M level. The campus base budget adjustments will replace the previous CPO quarterly assessments in 2012/13.</t>
    </r>
  </si>
  <si>
    <t>(Sum Cols. 9 - 11)</t>
  </si>
  <si>
    <t>(Attachment A - updates 7/24/12)</t>
  </si>
  <si>
    <t>(=Col. 3)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</si>
</sst>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_);_(* \(#,##0\);_(* &quot;-&quot;??_);_(@_)"/>
    <numFmt numFmtId="167" formatCode="0.00000%"/>
    <numFmt numFmtId="168" formatCode="0.000%"/>
  </numFmts>
  <fonts count="127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10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7"/>
      <color indexed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color indexed="10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sz val="9.5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i/>
      <sz val="8"/>
      <name val="Times New Roman"/>
      <family val="1"/>
    </font>
    <font>
      <i/>
      <sz val="7.5"/>
      <name val="Times New Roman"/>
      <family val="1"/>
    </font>
    <font>
      <i/>
      <sz val="6.5"/>
      <name val="Times New Roman"/>
      <family val="1"/>
    </font>
    <font>
      <i/>
      <vertAlign val="superscript"/>
      <sz val="11"/>
      <name val="Times New Roman"/>
      <family val="1"/>
    </font>
    <font>
      <sz val="10.5"/>
      <name val="Times New Roman"/>
      <family val="1"/>
    </font>
    <font>
      <b/>
      <i/>
      <sz val="7.5"/>
      <color indexed="56"/>
      <name val="Times New Roman"/>
      <family val="1"/>
    </font>
    <font>
      <b/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i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11"/>
      <color rgb="FFFF0000"/>
      <name val="Times New Roman"/>
      <family val="1"/>
    </font>
    <font>
      <i/>
      <sz val="8"/>
      <color rgb="FFFF0000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8"/>
      <color rgb="FFFF0000"/>
      <name val="Times New Roman"/>
      <family val="1"/>
    </font>
    <font>
      <b/>
      <sz val="9.5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7.5"/>
      <color theme="3"/>
      <name val="Times New Roman"/>
      <family val="1"/>
    </font>
    <font>
      <b/>
      <i/>
      <sz val="8"/>
      <color theme="3"/>
      <name val="Times New Roman"/>
      <family val="1"/>
    </font>
    <font>
      <b/>
      <sz val="10"/>
      <color theme="3"/>
      <name val="Times New Roman"/>
      <family val="1"/>
    </font>
    <font>
      <b/>
      <i/>
      <sz val="10"/>
      <color theme="3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/>
      <right/>
      <top style="thin"/>
      <bottom style="medium">
        <color theme="1"/>
      </bottom>
    </border>
    <border>
      <left style="medium">
        <color theme="1"/>
      </left>
      <right/>
      <top/>
      <bottom style="medium">
        <color theme="1"/>
      </bottom>
    </border>
    <border>
      <left/>
      <right style="medium"/>
      <top/>
      <bottom style="medium"/>
    </border>
    <border>
      <left style="medium">
        <color theme="1"/>
      </left>
      <right/>
      <top style="medium">
        <color theme="1"/>
      </top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medium"/>
      <right style="medium"/>
      <top/>
      <bottom style="medium">
        <color theme="1"/>
      </bottom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463">
    <xf numFmtId="0" fontId="0" fillId="0" borderId="0" xfId="0" applyAlignment="1">
      <alignment/>
    </xf>
    <xf numFmtId="37" fontId="3" fillId="0" borderId="0" xfId="0" applyNumberFormat="1" applyFont="1" applyFill="1" applyAlignment="1">
      <alignment/>
    </xf>
    <xf numFmtId="37" fontId="2" fillId="0" borderId="10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Alignment="1">
      <alignment horizontal="center" vertical="center" wrapText="1"/>
    </xf>
    <xf numFmtId="37" fontId="5" fillId="0" borderId="0" xfId="0" applyNumberFormat="1" applyFont="1" applyFill="1" applyBorder="1" applyAlignment="1">
      <alignment horizontal="center" vertical="center" wrapText="1"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37" fontId="9" fillId="0" borderId="0" xfId="0" applyNumberFormat="1" applyFont="1" applyFill="1" applyAlignment="1">
      <alignment/>
    </xf>
    <xf numFmtId="37" fontId="10" fillId="0" borderId="11" xfId="0" applyNumberFormat="1" applyFont="1" applyFill="1" applyBorder="1" applyAlignment="1">
      <alignment horizontal="center" wrapText="1"/>
    </xf>
    <xf numFmtId="37" fontId="10" fillId="0" borderId="0" xfId="0" applyNumberFormat="1" applyFont="1" applyFill="1" applyBorder="1" applyAlignment="1">
      <alignment horizontal="center" wrapText="1"/>
    </xf>
    <xf numFmtId="37" fontId="2" fillId="0" borderId="10" xfId="0" applyNumberFormat="1" applyFont="1" applyFill="1" applyBorder="1" applyAlignment="1">
      <alignment vertical="center"/>
    </xf>
    <xf numFmtId="5" fontId="9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37" fontId="8" fillId="0" borderId="0" xfId="0" applyNumberFormat="1" applyFont="1" applyFill="1" applyAlignment="1">
      <alignment/>
    </xf>
    <xf numFmtId="37" fontId="8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Alignment="1">
      <alignment horizontal="center"/>
    </xf>
    <xf numFmtId="37" fontId="97" fillId="0" borderId="0" xfId="0" applyNumberFormat="1" applyFont="1" applyFill="1" applyAlignment="1">
      <alignment/>
    </xf>
    <xf numFmtId="37" fontId="14" fillId="0" borderId="0" xfId="0" applyNumberFormat="1" applyFont="1" applyFill="1" applyAlignment="1" quotePrefix="1">
      <alignment horizontal="right"/>
    </xf>
    <xf numFmtId="37" fontId="98" fillId="0" borderId="0" xfId="0" applyNumberFormat="1" applyFont="1" applyFill="1" applyAlignment="1">
      <alignment/>
    </xf>
    <xf numFmtId="37" fontId="3" fillId="0" borderId="0" xfId="73" applyNumberFormat="1" applyFont="1" applyFill="1" applyBorder="1" applyAlignment="1">
      <alignment horizontal="center" vertical="center"/>
      <protection/>
    </xf>
    <xf numFmtId="0" fontId="97" fillId="0" borderId="0" xfId="73" applyFont="1" applyFill="1" applyBorder="1" applyAlignment="1">
      <alignment/>
      <protection/>
    </xf>
    <xf numFmtId="0" fontId="99" fillId="0" borderId="0" xfId="73" applyFont="1" applyFill="1" applyBorder="1">
      <alignment/>
      <protection/>
    </xf>
    <xf numFmtId="0" fontId="99" fillId="0" borderId="0" xfId="73" applyFont="1" applyFill="1" applyBorder="1" applyAlignment="1">
      <alignment horizontal="center"/>
      <protection/>
    </xf>
    <xf numFmtId="37" fontId="100" fillId="0" borderId="0" xfId="73" applyNumberFormat="1" applyFont="1" applyFill="1" applyBorder="1" applyAlignment="1">
      <alignment horizontal="center"/>
      <protection/>
    </xf>
    <xf numFmtId="0" fontId="99" fillId="0" borderId="12" xfId="73" applyFont="1" applyFill="1" applyBorder="1">
      <alignment/>
      <protection/>
    </xf>
    <xf numFmtId="0" fontId="99" fillId="0" borderId="13" xfId="73" applyFont="1" applyFill="1" applyBorder="1">
      <alignment/>
      <protection/>
    </xf>
    <xf numFmtId="0" fontId="99" fillId="0" borderId="14" xfId="73" applyFont="1" applyFill="1" applyBorder="1" applyAlignment="1">
      <alignment horizontal="center" wrapText="1"/>
      <protection/>
    </xf>
    <xf numFmtId="0" fontId="101" fillId="0" borderId="10" xfId="73" applyFont="1" applyFill="1" applyBorder="1" applyAlignment="1">
      <alignment/>
      <protection/>
    </xf>
    <xf numFmtId="0" fontId="99" fillId="0" borderId="0" xfId="73" applyFont="1" applyFill="1" applyBorder="1" applyAlignment="1">
      <alignment/>
      <protection/>
    </xf>
    <xf numFmtId="0" fontId="101" fillId="0" borderId="0" xfId="73" applyFont="1" applyFill="1" applyBorder="1" applyAlignment="1">
      <alignment/>
      <protection/>
    </xf>
    <xf numFmtId="0" fontId="101" fillId="0" borderId="0" xfId="73" applyFont="1" applyFill="1" applyBorder="1">
      <alignment/>
      <protection/>
    </xf>
    <xf numFmtId="0" fontId="101" fillId="0" borderId="0" xfId="73" applyFont="1" applyFill="1" applyBorder="1" applyAlignment="1">
      <alignment horizontal="center"/>
      <protection/>
    </xf>
    <xf numFmtId="0" fontId="101" fillId="0" borderId="15" xfId="73" applyFont="1" applyFill="1" applyBorder="1" applyAlignment="1">
      <alignment horizontal="center"/>
      <protection/>
    </xf>
    <xf numFmtId="0" fontId="101" fillId="0" borderId="16" xfId="73" applyFont="1" applyFill="1" applyBorder="1" applyAlignment="1">
      <alignment horizontal="center"/>
      <protection/>
    </xf>
    <xf numFmtId="0" fontId="99" fillId="0" borderId="16" xfId="73" applyFont="1" applyFill="1" applyBorder="1">
      <alignment/>
      <protection/>
    </xf>
    <xf numFmtId="0" fontId="101" fillId="0" borderId="15" xfId="73" applyFont="1" applyFill="1" applyBorder="1">
      <alignment/>
      <protection/>
    </xf>
    <xf numFmtId="0" fontId="101" fillId="0" borderId="15" xfId="73" applyFont="1" applyFill="1" applyBorder="1" applyAlignment="1" quotePrefix="1">
      <alignment horizontal="center"/>
      <protection/>
    </xf>
    <xf numFmtId="165" fontId="101" fillId="0" borderId="15" xfId="73" applyNumberFormat="1" applyFont="1" applyFill="1" applyBorder="1">
      <alignment/>
      <protection/>
    </xf>
    <xf numFmtId="167" fontId="101" fillId="0" borderId="16" xfId="73" applyNumberFormat="1" applyFont="1" applyFill="1" applyBorder="1" applyAlignment="1">
      <alignment horizontal="center"/>
      <protection/>
    </xf>
    <xf numFmtId="5" fontId="101" fillId="0" borderId="15" xfId="73" applyNumberFormat="1" applyFont="1" applyFill="1" applyBorder="1">
      <alignment/>
      <protection/>
    </xf>
    <xf numFmtId="167" fontId="101" fillId="0" borderId="0" xfId="73" applyNumberFormat="1" applyFont="1" applyFill="1" applyBorder="1" applyAlignment="1">
      <alignment horizontal="center"/>
      <protection/>
    </xf>
    <xf numFmtId="167" fontId="101" fillId="0" borderId="15" xfId="73" applyNumberFormat="1" applyFont="1" applyFill="1" applyBorder="1" applyAlignment="1">
      <alignment horizontal="center"/>
      <protection/>
    </xf>
    <xf numFmtId="5" fontId="100" fillId="0" borderId="0" xfId="73" applyNumberFormat="1" applyFont="1" applyFill="1" applyBorder="1">
      <alignment/>
      <protection/>
    </xf>
    <xf numFmtId="37" fontId="101" fillId="0" borderId="0" xfId="73" applyNumberFormat="1" applyFont="1" applyFill="1" applyBorder="1">
      <alignment/>
      <protection/>
    </xf>
    <xf numFmtId="5" fontId="101" fillId="0" borderId="0" xfId="73" applyNumberFormat="1" applyFont="1" applyFill="1" applyBorder="1">
      <alignment/>
      <protection/>
    </xf>
    <xf numFmtId="37" fontId="100" fillId="0" borderId="0" xfId="73" applyNumberFormat="1" applyFont="1" applyFill="1" applyBorder="1">
      <alignment/>
      <protection/>
    </xf>
    <xf numFmtId="3" fontId="101" fillId="0" borderId="0" xfId="73" applyNumberFormat="1" applyFont="1" applyFill="1" applyBorder="1">
      <alignment/>
      <protection/>
    </xf>
    <xf numFmtId="168" fontId="101" fillId="0" borderId="0" xfId="73" applyNumberFormat="1" applyFont="1" applyFill="1" applyBorder="1">
      <alignment/>
      <protection/>
    </xf>
    <xf numFmtId="3" fontId="101" fillId="0" borderId="16" xfId="73" applyNumberFormat="1" applyFont="1" applyFill="1" applyBorder="1" applyAlignment="1">
      <alignment horizontal="center"/>
      <protection/>
    </xf>
    <xf numFmtId="3" fontId="101" fillId="0" borderId="15" xfId="73" applyNumberFormat="1" applyFont="1" applyFill="1" applyBorder="1">
      <alignment/>
      <protection/>
    </xf>
    <xf numFmtId="3" fontId="101" fillId="0" borderId="15" xfId="73" applyNumberFormat="1" applyFont="1" applyFill="1" applyBorder="1" applyAlignment="1">
      <alignment horizontal="center"/>
      <protection/>
    </xf>
    <xf numFmtId="0" fontId="101" fillId="0" borderId="17" xfId="73" applyFont="1" applyFill="1" applyBorder="1" applyAlignment="1">
      <alignment horizontal="center"/>
      <protection/>
    </xf>
    <xf numFmtId="0" fontId="101" fillId="0" borderId="18" xfId="73" applyFont="1" applyFill="1" applyBorder="1">
      <alignment/>
      <protection/>
    </xf>
    <xf numFmtId="10" fontId="101" fillId="0" borderId="18" xfId="73" applyNumberFormat="1" applyFont="1" applyFill="1" applyBorder="1" applyAlignment="1">
      <alignment horizontal="center"/>
      <protection/>
    </xf>
    <xf numFmtId="165" fontId="101" fillId="0" borderId="17" xfId="73" applyNumberFormat="1" applyFont="1" applyFill="1" applyBorder="1">
      <alignment/>
      <protection/>
    </xf>
    <xf numFmtId="10" fontId="101" fillId="0" borderId="19" xfId="73" applyNumberFormat="1" applyFont="1" applyFill="1" applyBorder="1" applyAlignment="1">
      <alignment horizontal="center"/>
      <protection/>
    </xf>
    <xf numFmtId="10" fontId="101" fillId="0" borderId="17" xfId="73" applyNumberFormat="1" applyFont="1" applyFill="1" applyBorder="1" applyAlignment="1">
      <alignment horizontal="center"/>
      <protection/>
    </xf>
    <xf numFmtId="5" fontId="100" fillId="0" borderId="18" xfId="60" applyNumberFormat="1" applyFont="1" applyFill="1" applyBorder="1" applyAlignment="1">
      <alignment/>
    </xf>
    <xf numFmtId="0" fontId="99" fillId="0" borderId="19" xfId="73" applyFont="1" applyFill="1" applyBorder="1">
      <alignment/>
      <protection/>
    </xf>
    <xf numFmtId="5" fontId="101" fillId="0" borderId="0" xfId="60" applyNumberFormat="1" applyFont="1" applyFill="1" applyBorder="1" applyAlignment="1">
      <alignment/>
    </xf>
    <xf numFmtId="5" fontId="99" fillId="0" borderId="0" xfId="73" applyNumberFormat="1" applyFont="1" applyFill="1" applyBorder="1">
      <alignment/>
      <protection/>
    </xf>
    <xf numFmtId="3" fontId="99" fillId="0" borderId="0" xfId="73" applyNumberFormat="1" applyFont="1" applyFill="1" applyBorder="1">
      <alignment/>
      <protection/>
    </xf>
    <xf numFmtId="3" fontId="99" fillId="0" borderId="0" xfId="73" applyNumberFormat="1" applyFont="1" applyFill="1" applyBorder="1" applyAlignment="1">
      <alignment horizontal="center"/>
      <protection/>
    </xf>
    <xf numFmtId="165" fontId="99" fillId="0" borderId="0" xfId="73" applyNumberFormat="1" applyFont="1" applyFill="1" applyBorder="1">
      <alignment/>
      <protection/>
    </xf>
    <xf numFmtId="0" fontId="101" fillId="0" borderId="0" xfId="73" applyFont="1" applyFill="1" applyBorder="1" applyAlignment="1">
      <alignment horizontal="center" wrapText="1"/>
      <protection/>
    </xf>
    <xf numFmtId="0" fontId="102" fillId="0" borderId="0" xfId="73" applyFont="1" applyFill="1" applyBorder="1">
      <alignment/>
      <protection/>
    </xf>
    <xf numFmtId="37" fontId="103" fillId="0" borderId="0" xfId="52" applyNumberFormat="1" applyFont="1" applyFill="1" applyBorder="1" applyAlignment="1" quotePrefix="1">
      <alignment horizontal="center"/>
    </xf>
    <xf numFmtId="0" fontId="100" fillId="0" borderId="15" xfId="73" applyFont="1" applyFill="1" applyBorder="1" applyAlignment="1" quotePrefix="1">
      <alignment wrapText="1"/>
      <protection/>
    </xf>
    <xf numFmtId="37" fontId="99" fillId="0" borderId="0" xfId="73" applyNumberFormat="1" applyFont="1" applyFill="1" applyBorder="1">
      <alignment/>
      <protection/>
    </xf>
    <xf numFmtId="5" fontId="0" fillId="0" borderId="0" xfId="73" applyNumberFormat="1" applyFont="1">
      <alignment/>
      <protection/>
    </xf>
    <xf numFmtId="5" fontId="0" fillId="0" borderId="0" xfId="0" applyNumberFormat="1" applyFont="1" applyFill="1" applyAlignment="1">
      <alignment/>
    </xf>
    <xf numFmtId="37" fontId="0" fillId="0" borderId="0" xfId="73" applyNumberFormat="1" applyFont="1">
      <alignment/>
      <protection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 applyProtection="1">
      <alignment/>
      <protection locked="0"/>
    </xf>
    <xf numFmtId="37" fontId="0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 horizontal="right" indent="1"/>
    </xf>
    <xf numFmtId="37" fontId="103" fillId="0" borderId="11" xfId="52" applyNumberFormat="1" applyFont="1" applyFill="1" applyBorder="1" applyAlignment="1" quotePrefix="1">
      <alignment horizontal="center"/>
    </xf>
    <xf numFmtId="37" fontId="10" fillId="0" borderId="11" xfId="0" applyNumberFormat="1" applyFont="1" applyFill="1" applyBorder="1" applyAlignment="1">
      <alignment horizontal="center" vertical="center" wrapText="1"/>
    </xf>
    <xf numFmtId="37" fontId="10" fillId="0" borderId="0" xfId="0" applyNumberFormat="1" applyFont="1" applyFill="1" applyBorder="1" applyAlignment="1">
      <alignment horizontal="center" vertical="center" wrapText="1"/>
    </xf>
    <xf numFmtId="37" fontId="104" fillId="0" borderId="0" xfId="52" applyNumberFormat="1" applyFont="1" applyFill="1" applyBorder="1" applyAlignment="1">
      <alignment horizontal="center" vertical="center"/>
    </xf>
    <xf numFmtId="0" fontId="99" fillId="0" borderId="15" xfId="73" applyFont="1" applyFill="1" applyBorder="1" applyAlignment="1">
      <alignment horizontal="center" vertical="center"/>
      <protection/>
    </xf>
    <xf numFmtId="0" fontId="101" fillId="0" borderId="0" xfId="73" applyFont="1" applyFill="1" applyBorder="1" applyAlignment="1">
      <alignment vertical="center"/>
      <protection/>
    </xf>
    <xf numFmtId="0" fontId="101" fillId="0" borderId="20" xfId="73" applyFont="1" applyFill="1" applyBorder="1" applyAlignment="1">
      <alignment horizontal="center" vertical="center"/>
      <protection/>
    </xf>
    <xf numFmtId="0" fontId="101" fillId="0" borderId="0" xfId="73" applyFont="1" applyFill="1" applyBorder="1" applyAlignment="1">
      <alignment horizontal="center" vertical="center"/>
      <protection/>
    </xf>
    <xf numFmtId="0" fontId="101" fillId="0" borderId="15" xfId="73" applyFont="1" applyFill="1" applyBorder="1" applyAlignment="1">
      <alignment horizontal="center" vertical="center"/>
      <protection/>
    </xf>
    <xf numFmtId="0" fontId="101" fillId="0" borderId="16" xfId="73" applyFont="1" applyFill="1" applyBorder="1" applyAlignment="1">
      <alignment horizontal="center" vertical="center"/>
      <protection/>
    </xf>
    <xf numFmtId="0" fontId="105" fillId="0" borderId="0" xfId="73" applyFont="1" applyFill="1" applyBorder="1" applyAlignment="1">
      <alignment horizontal="center" vertical="center"/>
      <protection/>
    </xf>
    <xf numFmtId="0" fontId="99" fillId="0" borderId="16" xfId="73" applyFont="1" applyFill="1" applyBorder="1" applyAlignment="1">
      <alignment vertical="center"/>
      <protection/>
    </xf>
    <xf numFmtId="0" fontId="99" fillId="0" borderId="0" xfId="73" applyFont="1" applyFill="1" applyBorder="1" applyAlignment="1">
      <alignment vertical="center"/>
      <protection/>
    </xf>
    <xf numFmtId="37" fontId="104" fillId="0" borderId="15" xfId="52" applyNumberFormat="1" applyFont="1" applyFill="1" applyBorder="1" applyAlignment="1">
      <alignment horizontal="center" vertical="center"/>
    </xf>
    <xf numFmtId="37" fontId="103" fillId="0" borderId="15" xfId="52" applyNumberFormat="1" applyFont="1" applyFill="1" applyBorder="1" applyAlignment="1" quotePrefix="1">
      <alignment horizontal="center"/>
    </xf>
    <xf numFmtId="37" fontId="8" fillId="0" borderId="0" xfId="0" applyNumberFormat="1" applyFont="1" applyFill="1" applyAlignment="1">
      <alignment/>
    </xf>
    <xf numFmtId="37" fontId="100" fillId="0" borderId="0" xfId="77" applyNumberFormat="1" applyFont="1" applyFill="1" applyBorder="1" applyAlignment="1" quotePrefix="1">
      <alignment horizontal="center"/>
      <protection/>
    </xf>
    <xf numFmtId="37" fontId="0" fillId="0" borderId="0" xfId="0" applyNumberFormat="1" applyFont="1" applyFill="1" applyAlignment="1">
      <alignment vertical="top"/>
    </xf>
    <xf numFmtId="37" fontId="8" fillId="0" borderId="18" xfId="0" applyNumberFormat="1" applyFont="1" applyFill="1" applyBorder="1" applyAlignment="1">
      <alignment/>
    </xf>
    <xf numFmtId="37" fontId="7" fillId="0" borderId="11" xfId="0" applyNumberFormat="1" applyFont="1" applyFill="1" applyBorder="1" applyAlignment="1">
      <alignment/>
    </xf>
    <xf numFmtId="37" fontId="99" fillId="0" borderId="0" xfId="0" applyNumberFormat="1" applyFont="1" applyFill="1" applyAlignment="1">
      <alignment/>
    </xf>
    <xf numFmtId="37" fontId="101" fillId="0" borderId="15" xfId="73" applyNumberFormat="1" applyFont="1" applyFill="1" applyBorder="1">
      <alignment/>
      <protection/>
    </xf>
    <xf numFmtId="37" fontId="101" fillId="33" borderId="15" xfId="73" applyNumberFormat="1" applyFont="1" applyFill="1" applyBorder="1">
      <alignment/>
      <protection/>
    </xf>
    <xf numFmtId="0" fontId="106" fillId="0" borderId="0" xfId="73" applyFont="1" applyFill="1" applyBorder="1" applyAlignment="1">
      <alignment horizontal="center"/>
      <protection/>
    </xf>
    <xf numFmtId="166" fontId="99" fillId="0" borderId="0" xfId="45" applyNumberFormat="1" applyFont="1" applyFill="1" applyBorder="1" applyAlignment="1">
      <alignment/>
    </xf>
    <xf numFmtId="37" fontId="107" fillId="0" borderId="0" xfId="0" applyNumberFormat="1" applyFont="1" applyFill="1" applyBorder="1" applyAlignment="1">
      <alignment/>
    </xf>
    <xf numFmtId="165" fontId="101" fillId="0" borderId="15" xfId="81" applyNumberFormat="1" applyFont="1" applyBorder="1">
      <alignment/>
      <protection/>
    </xf>
    <xf numFmtId="37" fontId="101" fillId="0" borderId="15" xfId="81" applyNumberFormat="1" applyFont="1" applyBorder="1">
      <alignment/>
      <protection/>
    </xf>
    <xf numFmtId="3" fontId="101" fillId="0" borderId="15" xfId="81" applyNumberFormat="1" applyFont="1" applyBorder="1">
      <alignment/>
      <protection/>
    </xf>
    <xf numFmtId="0" fontId="102" fillId="0" borderId="15" xfId="73" applyFont="1" applyFill="1" applyBorder="1">
      <alignment/>
      <protection/>
    </xf>
    <xf numFmtId="37" fontId="8" fillId="0" borderId="0" xfId="0" applyNumberFormat="1" applyFont="1" applyFill="1" applyAlignment="1" quotePrefix="1">
      <alignment horizontal="center"/>
    </xf>
    <xf numFmtId="0" fontId="11" fillId="0" borderId="0" xfId="82" applyFont="1" applyFill="1" applyBorder="1">
      <alignment/>
      <protection/>
    </xf>
    <xf numFmtId="0" fontId="9" fillId="0" borderId="0" xfId="82" applyFont="1" applyFill="1" applyBorder="1">
      <alignment/>
      <protection/>
    </xf>
    <xf numFmtId="0" fontId="8" fillId="0" borderId="0" xfId="82" applyFont="1" applyFill="1" applyBorder="1">
      <alignment/>
      <protection/>
    </xf>
    <xf numFmtId="0" fontId="3" fillId="0" borderId="0" xfId="82" applyFont="1" applyFill="1" applyBorder="1" applyAlignment="1">
      <alignment horizontal="right"/>
      <protection/>
    </xf>
    <xf numFmtId="0" fontId="22" fillId="0" borderId="0" xfId="82" applyFont="1" applyFill="1" applyBorder="1">
      <alignment/>
      <protection/>
    </xf>
    <xf numFmtId="0" fontId="9" fillId="0" borderId="0" xfId="82" applyFont="1" applyFill="1">
      <alignment/>
      <protection/>
    </xf>
    <xf numFmtId="0" fontId="0" fillId="0" borderId="10" xfId="82" applyFont="1" applyFill="1" applyBorder="1" applyAlignment="1">
      <alignment horizontal="center" wrapText="1"/>
      <protection/>
    </xf>
    <xf numFmtId="0" fontId="0" fillId="0" borderId="21" xfId="82" applyFont="1" applyFill="1" applyBorder="1" applyAlignment="1">
      <alignment horizontal="center" wrapText="1"/>
      <protection/>
    </xf>
    <xf numFmtId="0" fontId="0" fillId="0" borderId="0" xfId="82" applyFont="1" applyFill="1" applyAlignment="1">
      <alignment horizontal="center" wrapText="1"/>
      <protection/>
    </xf>
    <xf numFmtId="0" fontId="9" fillId="0" borderId="22" xfId="82" applyFont="1" applyFill="1" applyBorder="1" applyAlignment="1">
      <alignment horizontal="center" wrapText="1"/>
      <protection/>
    </xf>
    <xf numFmtId="0" fontId="9" fillId="0" borderId="0" xfId="82" applyFont="1" applyFill="1" applyBorder="1" applyAlignment="1">
      <alignment horizontal="center" wrapText="1"/>
      <protection/>
    </xf>
    <xf numFmtId="0" fontId="9" fillId="0" borderId="23" xfId="82" applyFont="1" applyFill="1" applyBorder="1" applyAlignment="1">
      <alignment horizontal="center" wrapText="1"/>
      <protection/>
    </xf>
    <xf numFmtId="0" fontId="9" fillId="0" borderId="0" xfId="82" applyFont="1" applyFill="1" applyAlignment="1">
      <alignment horizontal="center" wrapText="1"/>
      <protection/>
    </xf>
    <xf numFmtId="5" fontId="9" fillId="0" borderId="22" xfId="82" applyNumberFormat="1" applyFont="1" applyFill="1" applyBorder="1">
      <alignment/>
      <protection/>
    </xf>
    <xf numFmtId="5" fontId="9" fillId="0" borderId="0" xfId="82" applyNumberFormat="1" applyFont="1" applyFill="1" applyBorder="1">
      <alignment/>
      <protection/>
    </xf>
    <xf numFmtId="5" fontId="9" fillId="0" borderId="0" xfId="82" applyNumberFormat="1" applyFont="1" applyFill="1">
      <alignment/>
      <protection/>
    </xf>
    <xf numFmtId="37" fontId="9" fillId="0" borderId="22" xfId="82" applyNumberFormat="1" applyFont="1" applyFill="1" applyBorder="1">
      <alignment/>
      <protection/>
    </xf>
    <xf numFmtId="37" fontId="9" fillId="0" borderId="0" xfId="82" applyNumberFormat="1" applyFont="1" applyFill="1" applyBorder="1">
      <alignment/>
      <protection/>
    </xf>
    <xf numFmtId="37" fontId="9" fillId="0" borderId="23" xfId="82" applyNumberFormat="1" applyFont="1" applyFill="1" applyBorder="1">
      <alignment/>
      <protection/>
    </xf>
    <xf numFmtId="0" fontId="7" fillId="0" borderId="0" xfId="82" applyFont="1" applyFill="1">
      <alignment/>
      <protection/>
    </xf>
    <xf numFmtId="0" fontId="0" fillId="0" borderId="0" xfId="82" applyFont="1" applyFill="1">
      <alignment/>
      <protection/>
    </xf>
    <xf numFmtId="166" fontId="0" fillId="0" borderId="0" xfId="82" applyNumberFormat="1" applyFont="1" applyFill="1">
      <alignment/>
      <protection/>
    </xf>
    <xf numFmtId="5" fontId="0" fillId="0" borderId="0" xfId="82" applyNumberFormat="1" applyFont="1" applyFill="1">
      <alignment/>
      <protection/>
    </xf>
    <xf numFmtId="7" fontId="9" fillId="0" borderId="0" xfId="82" applyNumberFormat="1" applyFont="1" applyFill="1">
      <alignment/>
      <protection/>
    </xf>
    <xf numFmtId="0" fontId="9" fillId="0" borderId="0" xfId="82" applyFont="1" applyFill="1" applyAlignment="1">
      <alignment horizontal="center"/>
      <protection/>
    </xf>
    <xf numFmtId="0" fontId="0" fillId="0" borderId="0" xfId="82" applyFont="1" applyFill="1" applyAlignment="1">
      <alignment horizontal="center"/>
      <protection/>
    </xf>
    <xf numFmtId="7" fontId="0" fillId="0" borderId="0" xfId="82" applyNumberFormat="1" applyFont="1" applyFill="1" applyAlignment="1">
      <alignment horizontal="center"/>
      <protection/>
    </xf>
    <xf numFmtId="5" fontId="9" fillId="0" borderId="0" xfId="82" applyNumberFormat="1" applyFont="1" applyFill="1" applyAlignment="1">
      <alignment horizontal="center"/>
      <protection/>
    </xf>
    <xf numFmtId="0" fontId="7" fillId="0" borderId="0" xfId="82" applyNumberFormat="1" applyFont="1" applyFill="1" applyAlignment="1">
      <alignment wrapText="1"/>
      <protection/>
    </xf>
    <xf numFmtId="0" fontId="9" fillId="0" borderId="0" xfId="82" applyFont="1" applyFill="1" applyAlignment="1">
      <alignment vertical="center"/>
      <protection/>
    </xf>
    <xf numFmtId="5" fontId="9" fillId="0" borderId="0" xfId="82" applyNumberFormat="1" applyFont="1" applyFill="1" applyAlignment="1">
      <alignment vertical="center"/>
      <protection/>
    </xf>
    <xf numFmtId="7" fontId="9" fillId="0" borderId="0" xfId="82" applyNumberFormat="1" applyFont="1" applyFill="1" applyAlignment="1">
      <alignment vertical="center"/>
      <protection/>
    </xf>
    <xf numFmtId="0" fontId="108" fillId="0" borderId="0" xfId="82" applyFont="1" applyFill="1" applyBorder="1">
      <alignment/>
      <protection/>
    </xf>
    <xf numFmtId="0" fontId="109" fillId="0" borderId="0" xfId="82" applyFont="1" applyFill="1" applyBorder="1">
      <alignment/>
      <protection/>
    </xf>
    <xf numFmtId="0" fontId="109" fillId="0" borderId="0" xfId="82" applyFont="1" applyFill="1" applyBorder="1" applyAlignment="1">
      <alignment horizontal="center"/>
      <protection/>
    </xf>
    <xf numFmtId="0" fontId="22" fillId="0" borderId="0" xfId="76" applyFont="1" applyFill="1">
      <alignment/>
      <protection/>
    </xf>
    <xf numFmtId="0" fontId="9" fillId="0" borderId="24" xfId="82" applyFont="1" applyFill="1" applyBorder="1" applyAlignment="1">
      <alignment horizontal="center" wrapText="1"/>
      <protection/>
    </xf>
    <xf numFmtId="5" fontId="9" fillId="0" borderId="24" xfId="82" applyNumberFormat="1" applyFont="1" applyFill="1" applyBorder="1">
      <alignment/>
      <protection/>
    </xf>
    <xf numFmtId="37" fontId="9" fillId="0" borderId="24" xfId="82" applyNumberFormat="1" applyFont="1" applyFill="1" applyBorder="1">
      <alignment/>
      <protection/>
    </xf>
    <xf numFmtId="37" fontId="8" fillId="0" borderId="10" xfId="0" applyNumberFormat="1" applyFont="1" applyFill="1" applyBorder="1" applyAlignment="1" quotePrefix="1">
      <alignment horizontal="center"/>
    </xf>
    <xf numFmtId="37" fontId="10" fillId="0" borderId="0" xfId="0" applyNumberFormat="1" applyFont="1" applyFill="1" applyBorder="1" applyAlignment="1">
      <alignment horizontal="center" vertical="center"/>
    </xf>
    <xf numFmtId="37" fontId="10" fillId="0" borderId="11" xfId="0" applyNumberFormat="1" applyFont="1" applyFill="1" applyBorder="1" applyAlignment="1">
      <alignment horizontal="center" vertical="center"/>
    </xf>
    <xf numFmtId="37" fontId="110" fillId="0" borderId="0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Alignment="1">
      <alignment horizontal="center" vertical="center"/>
    </xf>
    <xf numFmtId="37" fontId="7" fillId="0" borderId="11" xfId="0" applyNumberFormat="1" applyFont="1" applyFill="1" applyBorder="1" applyAlignment="1">
      <alignment/>
    </xf>
    <xf numFmtId="0" fontId="110" fillId="0" borderId="22" xfId="82" applyFont="1" applyFill="1" applyBorder="1" applyAlignment="1">
      <alignment horizontal="center" vertical="center" wrapText="1"/>
      <protection/>
    </xf>
    <xf numFmtId="0" fontId="110" fillId="0" borderId="0" xfId="82" applyFont="1" applyFill="1" applyBorder="1" applyAlignment="1">
      <alignment horizontal="center" vertical="center" wrapText="1"/>
      <protection/>
    </xf>
    <xf numFmtId="37" fontId="5" fillId="0" borderId="0" xfId="73" applyNumberFormat="1" applyFont="1" applyFill="1" applyBorder="1" applyAlignment="1" quotePrefix="1">
      <alignment horizontal="center" vertical="center"/>
      <protection/>
    </xf>
    <xf numFmtId="37" fontId="5" fillId="0" borderId="0" xfId="73" applyNumberFormat="1" applyFont="1" applyFill="1" applyBorder="1" applyAlignment="1">
      <alignment horizontal="center" vertical="center"/>
      <protection/>
    </xf>
    <xf numFmtId="0" fontId="110" fillId="0" borderId="0" xfId="82" applyFont="1" applyFill="1" applyAlignment="1">
      <alignment horizontal="center" vertical="center" wrapText="1"/>
      <protection/>
    </xf>
    <xf numFmtId="0" fontId="101" fillId="0" borderId="0" xfId="82" applyFont="1" applyFill="1" applyBorder="1" applyAlignment="1">
      <alignment horizontal="left"/>
      <protection/>
    </xf>
    <xf numFmtId="37" fontId="97" fillId="0" borderId="0" xfId="73" applyNumberFormat="1" applyFont="1" applyFill="1" applyAlignment="1">
      <alignment horizontal="left"/>
      <protection/>
    </xf>
    <xf numFmtId="37" fontId="84" fillId="0" borderId="0" xfId="83" applyNumberFormat="1" applyFont="1" applyFill="1">
      <alignment/>
      <protection/>
    </xf>
    <xf numFmtId="37" fontId="84" fillId="0" borderId="0" xfId="73" applyNumberFormat="1" applyFont="1" applyFill="1" applyAlignment="1">
      <alignment horizontal="left"/>
      <protection/>
    </xf>
    <xf numFmtId="37" fontId="84" fillId="0" borderId="0" xfId="83" applyNumberFormat="1" applyFont="1" applyFill="1" applyBorder="1">
      <alignment/>
      <protection/>
    </xf>
    <xf numFmtId="37" fontId="111" fillId="0" borderId="0" xfId="83" applyNumberFormat="1" applyFont="1" applyFill="1" applyBorder="1">
      <alignment/>
      <protection/>
    </xf>
    <xf numFmtId="37" fontId="111" fillId="0" borderId="0" xfId="83" applyNumberFormat="1" applyFont="1" applyFill="1">
      <alignment/>
      <protection/>
    </xf>
    <xf numFmtId="37" fontId="100" fillId="0" borderId="0" xfId="54" applyNumberFormat="1" applyFont="1" applyFill="1" applyBorder="1" applyAlignment="1">
      <alignment/>
    </xf>
    <xf numFmtId="37" fontId="100" fillId="0" borderId="0" xfId="83" applyNumberFormat="1" applyFont="1" applyFill="1" applyAlignment="1">
      <alignment horizontal="center"/>
      <protection/>
    </xf>
    <xf numFmtId="37" fontId="100" fillId="0" borderId="0" xfId="83" applyNumberFormat="1" applyFont="1" applyFill="1" applyBorder="1" applyAlignment="1">
      <alignment horizontal="center"/>
      <protection/>
    </xf>
    <xf numFmtId="37" fontId="105" fillId="0" borderId="0" xfId="83" applyNumberFormat="1" applyFont="1" applyFill="1" applyBorder="1" applyAlignment="1">
      <alignment horizontal="center"/>
      <protection/>
    </xf>
    <xf numFmtId="37" fontId="101" fillId="0" borderId="0" xfId="83" applyNumberFormat="1" applyFont="1" applyFill="1">
      <alignment/>
      <protection/>
    </xf>
    <xf numFmtId="37" fontId="112" fillId="0" borderId="0" xfId="83" applyNumberFormat="1" applyFont="1" applyFill="1" applyAlignment="1">
      <alignment horizontal="center" vertical="center"/>
      <protection/>
    </xf>
    <xf numFmtId="37" fontId="104" fillId="0" borderId="0" xfId="54" applyNumberFormat="1" applyFont="1" applyFill="1" applyBorder="1" applyAlignment="1" quotePrefix="1">
      <alignment horizontal="center" vertical="center"/>
    </xf>
    <xf numFmtId="37" fontId="103" fillId="0" borderId="0" xfId="54" applyNumberFormat="1" applyFont="1" applyFill="1" applyBorder="1" applyAlignment="1" quotePrefix="1">
      <alignment horizontal="center"/>
    </xf>
    <xf numFmtId="37" fontId="103" fillId="0" borderId="11" xfId="54" applyNumberFormat="1" applyFont="1" applyFill="1" applyBorder="1" applyAlignment="1" quotePrefix="1">
      <alignment horizontal="center"/>
    </xf>
    <xf numFmtId="5" fontId="84" fillId="0" borderId="0" xfId="83" applyNumberFormat="1" applyFont="1" applyFill="1">
      <alignment/>
      <protection/>
    </xf>
    <xf numFmtId="37" fontId="84" fillId="0" borderId="0" xfId="54" applyNumberFormat="1" applyFont="1" applyFill="1" applyAlignment="1">
      <alignment/>
    </xf>
    <xf numFmtId="37" fontId="113" fillId="0" borderId="0" xfId="83" applyNumberFormat="1" applyFont="1" applyFill="1" applyBorder="1">
      <alignment/>
      <protection/>
    </xf>
    <xf numFmtId="37" fontId="104" fillId="0" borderId="0" xfId="0" applyNumberFormat="1" applyFont="1" applyFill="1" applyAlignment="1">
      <alignment horizontal="center" vertical="center" wrapText="1"/>
    </xf>
    <xf numFmtId="37" fontId="0" fillId="0" borderId="0" xfId="73" applyNumberFormat="1" applyFont="1" applyFill="1" applyBorder="1" applyAlignment="1">
      <alignment/>
      <protection/>
    </xf>
    <xf numFmtId="37" fontId="0" fillId="0" borderId="0" xfId="73" applyNumberFormat="1" applyFont="1" applyFill="1" applyAlignment="1">
      <alignment/>
      <protection/>
    </xf>
    <xf numFmtId="37" fontId="10" fillId="0" borderId="0" xfId="73" applyNumberFormat="1" applyFont="1" applyFill="1" applyBorder="1" applyAlignment="1">
      <alignment horizontal="center" vertical="center" wrapText="1"/>
      <protection/>
    </xf>
    <xf numFmtId="37" fontId="111" fillId="0" borderId="0" xfId="54" applyNumberFormat="1" applyFont="1" applyFill="1" applyBorder="1" applyAlignment="1">
      <alignment/>
    </xf>
    <xf numFmtId="5" fontId="0" fillId="0" borderId="11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5" fontId="0" fillId="0" borderId="0" xfId="0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0" xfId="72" applyNumberFormat="1" applyFont="1" applyFill="1" applyAlignment="1">
      <alignment vertical="top"/>
      <protection/>
    </xf>
    <xf numFmtId="37" fontId="0" fillId="0" borderId="11" xfId="72" applyNumberFormat="1" applyFont="1" applyFill="1" applyBorder="1" applyAlignment="1">
      <alignment vertical="top"/>
      <protection/>
    </xf>
    <xf numFmtId="37" fontId="0" fillId="0" borderId="0" xfId="0" applyNumberFormat="1" applyFont="1" applyFill="1" applyBorder="1" applyAlignment="1">
      <alignment/>
    </xf>
    <xf numFmtId="5" fontId="0" fillId="0" borderId="25" xfId="0" applyNumberFormat="1" applyFont="1" applyFill="1" applyBorder="1" applyAlignment="1">
      <alignment/>
    </xf>
    <xf numFmtId="5" fontId="0" fillId="0" borderId="26" xfId="0" applyNumberFormat="1" applyFont="1" applyFill="1" applyBorder="1" applyAlignment="1">
      <alignment/>
    </xf>
    <xf numFmtId="5" fontId="0" fillId="0" borderId="25" xfId="0" applyNumberFormat="1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5" fontId="0" fillId="0" borderId="27" xfId="0" applyNumberFormat="1" applyFont="1" applyFill="1" applyBorder="1" applyAlignment="1">
      <alignment/>
    </xf>
    <xf numFmtId="5" fontId="0" fillId="0" borderId="28" xfId="0" applyNumberFormat="1" applyFont="1" applyFill="1" applyBorder="1" applyAlignment="1">
      <alignment/>
    </xf>
    <xf numFmtId="5" fontId="0" fillId="0" borderId="27" xfId="0" applyNumberFormat="1" applyFont="1" applyFill="1" applyBorder="1" applyAlignment="1">
      <alignment/>
    </xf>
    <xf numFmtId="5" fontId="99" fillId="0" borderId="0" xfId="83" applyNumberFormat="1" applyFont="1" applyFill="1">
      <alignment/>
      <protection/>
    </xf>
    <xf numFmtId="5" fontId="99" fillId="0" borderId="0" xfId="54" applyNumberFormat="1" applyFont="1" applyFill="1" applyBorder="1" applyAlignment="1">
      <alignment/>
    </xf>
    <xf numFmtId="5" fontId="99" fillId="0" borderId="11" xfId="54" applyNumberFormat="1" applyFont="1" applyFill="1" applyBorder="1" applyAlignment="1">
      <alignment/>
    </xf>
    <xf numFmtId="5" fontId="114" fillId="0" borderId="0" xfId="54" applyNumberFormat="1" applyFont="1" applyFill="1" applyBorder="1" applyAlignment="1">
      <alignment/>
    </xf>
    <xf numFmtId="5" fontId="99" fillId="0" borderId="15" xfId="52" applyNumberFormat="1" applyFont="1" applyFill="1" applyBorder="1" applyAlignment="1">
      <alignment/>
    </xf>
    <xf numFmtId="5" fontId="99" fillId="0" borderId="0" xfId="52" applyNumberFormat="1" applyFont="1" applyFill="1" applyBorder="1" applyAlignment="1">
      <alignment/>
    </xf>
    <xf numFmtId="5" fontId="99" fillId="0" borderId="11" xfId="52" applyNumberFormat="1" applyFont="1" applyFill="1" applyBorder="1" applyAlignment="1">
      <alignment/>
    </xf>
    <xf numFmtId="37" fontId="99" fillId="0" borderId="0" xfId="83" applyNumberFormat="1" applyFont="1" applyFill="1">
      <alignment/>
      <protection/>
    </xf>
    <xf numFmtId="37" fontId="99" fillId="0" borderId="0" xfId="54" applyNumberFormat="1" applyFont="1" applyFill="1" applyBorder="1" applyAlignment="1">
      <alignment/>
    </xf>
    <xf numFmtId="37" fontId="99" fillId="0" borderId="11" xfId="54" applyNumberFormat="1" applyFont="1" applyFill="1" applyBorder="1" applyAlignment="1">
      <alignment/>
    </xf>
    <xf numFmtId="37" fontId="114" fillId="0" borderId="0" xfId="54" applyNumberFormat="1" applyFont="1" applyFill="1" applyBorder="1" applyAlignment="1">
      <alignment/>
    </xf>
    <xf numFmtId="37" fontId="99" fillId="0" borderId="15" xfId="52" applyNumberFormat="1" applyFont="1" applyFill="1" applyBorder="1" applyAlignment="1">
      <alignment/>
    </xf>
    <xf numFmtId="37" fontId="99" fillId="0" borderId="0" xfId="52" applyNumberFormat="1" applyFont="1" applyFill="1" applyBorder="1" applyAlignment="1">
      <alignment/>
    </xf>
    <xf numFmtId="37" fontId="99" fillId="0" borderId="11" xfId="52" applyNumberFormat="1" applyFont="1" applyFill="1" applyBorder="1" applyAlignment="1">
      <alignment/>
    </xf>
    <xf numFmtId="37" fontId="99" fillId="0" borderId="25" xfId="83" applyNumberFormat="1" applyFont="1" applyFill="1" applyBorder="1">
      <alignment/>
      <protection/>
    </xf>
    <xf numFmtId="5" fontId="99" fillId="0" borderId="25" xfId="54" applyNumberFormat="1" applyFont="1" applyFill="1" applyBorder="1" applyAlignment="1">
      <alignment/>
    </xf>
    <xf numFmtId="5" fontId="99" fillId="0" borderId="26" xfId="54" applyNumberFormat="1" applyFont="1" applyFill="1" applyBorder="1" applyAlignment="1">
      <alignment/>
    </xf>
    <xf numFmtId="5" fontId="99" fillId="0" borderId="25" xfId="52" applyNumberFormat="1" applyFont="1" applyFill="1" applyBorder="1" applyAlignment="1">
      <alignment/>
    </xf>
    <xf numFmtId="37" fontId="99" fillId="0" borderId="0" xfId="83" applyNumberFormat="1" applyFont="1" applyFill="1" applyBorder="1">
      <alignment/>
      <protection/>
    </xf>
    <xf numFmtId="37" fontId="99" fillId="0" borderId="18" xfId="54" applyNumberFormat="1" applyFont="1" applyFill="1" applyBorder="1" applyAlignment="1">
      <alignment/>
    </xf>
    <xf numFmtId="37" fontId="99" fillId="0" borderId="17" xfId="52" applyNumberFormat="1" applyFont="1" applyFill="1" applyBorder="1" applyAlignment="1">
      <alignment/>
    </xf>
    <xf numFmtId="37" fontId="99" fillId="0" borderId="18" xfId="52" applyNumberFormat="1" applyFont="1" applyFill="1" applyBorder="1" applyAlignment="1">
      <alignment/>
    </xf>
    <xf numFmtId="37" fontId="99" fillId="0" borderId="29" xfId="52" applyNumberFormat="1" applyFont="1" applyFill="1" applyBorder="1" applyAlignment="1">
      <alignment/>
    </xf>
    <xf numFmtId="37" fontId="99" fillId="0" borderId="27" xfId="83" applyNumberFormat="1" applyFont="1" applyFill="1" applyBorder="1">
      <alignment/>
      <protection/>
    </xf>
    <xf numFmtId="5" fontId="99" fillId="0" borderId="27" xfId="54" applyNumberFormat="1" applyFont="1" applyFill="1" applyBorder="1" applyAlignment="1">
      <alignment/>
    </xf>
    <xf numFmtId="5" fontId="99" fillId="0" borderId="28" xfId="54" applyNumberFormat="1" applyFont="1" applyFill="1" applyBorder="1" applyAlignment="1">
      <alignment/>
    </xf>
    <xf numFmtId="5" fontId="99" fillId="0" borderId="27" xfId="52" applyNumberFormat="1" applyFont="1" applyFill="1" applyBorder="1" applyAlignment="1">
      <alignment/>
    </xf>
    <xf numFmtId="37" fontId="99" fillId="0" borderId="0" xfId="54" applyNumberFormat="1" applyFont="1" applyFill="1" applyAlignment="1">
      <alignment/>
    </xf>
    <xf numFmtId="37" fontId="99" fillId="0" borderId="0" xfId="52" applyNumberFormat="1" applyFont="1" applyFill="1" applyAlignment="1">
      <alignment/>
    </xf>
    <xf numFmtId="37" fontId="99" fillId="0" borderId="0" xfId="77" applyNumberFormat="1" applyFont="1" applyFill="1">
      <alignment/>
      <protection/>
    </xf>
    <xf numFmtId="37" fontId="101" fillId="0" borderId="0" xfId="83" applyNumberFormat="1" applyFont="1" applyFill="1" applyAlignment="1">
      <alignment wrapText="1"/>
      <protection/>
    </xf>
    <xf numFmtId="37" fontId="17" fillId="0" borderId="30" xfId="0" applyNumberFormat="1" applyFont="1" applyFill="1" applyBorder="1" applyAlignment="1">
      <alignment horizontal="center" wrapText="1"/>
    </xf>
    <xf numFmtId="37" fontId="101" fillId="0" borderId="30" xfId="54" applyNumberFormat="1" applyFont="1" applyFill="1" applyBorder="1" applyAlignment="1">
      <alignment horizontal="center" wrapText="1"/>
    </xf>
    <xf numFmtId="37" fontId="9" fillId="0" borderId="0" xfId="0" applyNumberFormat="1" applyFont="1" applyFill="1" applyAlignment="1">
      <alignment horizontal="center" wrapText="1"/>
    </xf>
    <xf numFmtId="37" fontId="103" fillId="0" borderId="0" xfId="54" applyNumberFormat="1" applyFont="1" applyFill="1" applyBorder="1" applyAlignment="1">
      <alignment horizontal="center" wrapText="1"/>
    </xf>
    <xf numFmtId="37" fontId="101" fillId="0" borderId="12" xfId="52" applyNumberFormat="1" applyFont="1" applyFill="1" applyBorder="1" applyAlignment="1">
      <alignment horizontal="center" wrapText="1"/>
    </xf>
    <xf numFmtId="37" fontId="101" fillId="0" borderId="13" xfId="52" applyNumberFormat="1" applyFont="1" applyFill="1" applyBorder="1" applyAlignment="1">
      <alignment horizontal="center" wrapText="1"/>
    </xf>
    <xf numFmtId="37" fontId="101" fillId="0" borderId="30" xfId="52" applyNumberFormat="1" applyFont="1" applyFill="1" applyBorder="1" applyAlignment="1">
      <alignment horizontal="center" wrapText="1"/>
    </xf>
    <xf numFmtId="37" fontId="6" fillId="0" borderId="0" xfId="0" applyNumberFormat="1" applyFont="1" applyFill="1" applyAlignment="1">
      <alignment horizontal="left" vertical="top"/>
    </xf>
    <xf numFmtId="5" fontId="7" fillId="0" borderId="27" xfId="0" applyNumberFormat="1" applyFont="1" applyFill="1" applyBorder="1" applyAlignment="1">
      <alignment/>
    </xf>
    <xf numFmtId="37" fontId="115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 vertical="top"/>
    </xf>
    <xf numFmtId="37" fontId="0" fillId="0" borderId="0" xfId="0" applyNumberFormat="1" applyFont="1" applyFill="1" applyAlignment="1">
      <alignment horizontal="center" vertical="top"/>
    </xf>
    <xf numFmtId="37" fontId="99" fillId="0" borderId="0" xfId="0" applyNumberFormat="1" applyFont="1" applyFill="1" applyAlignment="1">
      <alignment horizontal="left" vertical="top" wrapText="1"/>
    </xf>
    <xf numFmtId="37" fontId="9" fillId="0" borderId="10" xfId="0" applyNumberFormat="1" applyFont="1" applyFill="1" applyBorder="1" applyAlignment="1">
      <alignment horizontal="center" wrapText="1"/>
    </xf>
    <xf numFmtId="37" fontId="9" fillId="0" borderId="0" xfId="0" applyNumberFormat="1" applyFont="1" applyFill="1" applyAlignment="1">
      <alignment vertical="center"/>
    </xf>
    <xf numFmtId="37" fontId="9" fillId="0" borderId="0" xfId="0" applyNumberFormat="1" applyFont="1" applyFill="1" applyBorder="1" applyAlignment="1">
      <alignment vertical="center"/>
    </xf>
    <xf numFmtId="37" fontId="9" fillId="0" borderId="30" xfId="0" applyNumberFormat="1" applyFont="1" applyFill="1" applyBorder="1" applyAlignment="1">
      <alignment horizontal="center" wrapText="1"/>
    </xf>
    <xf numFmtId="37" fontId="12" fillId="0" borderId="0" xfId="0" applyNumberFormat="1" applyFont="1" applyFill="1" applyBorder="1" applyAlignment="1">
      <alignment horizontal="left" wrapText="1"/>
    </xf>
    <xf numFmtId="37" fontId="6" fillId="0" borderId="0" xfId="0" applyNumberFormat="1" applyFont="1" applyFill="1" applyBorder="1" applyAlignment="1">
      <alignment vertical="top"/>
    </xf>
    <xf numFmtId="37" fontId="0" fillId="0" borderId="22" xfId="82" applyNumberFormat="1" applyFont="1" applyFill="1" applyBorder="1">
      <alignment/>
      <protection/>
    </xf>
    <xf numFmtId="37" fontId="0" fillId="0" borderId="0" xfId="82" applyNumberFormat="1" applyFont="1" applyFill="1" applyBorder="1">
      <alignment/>
      <protection/>
    </xf>
    <xf numFmtId="37" fontId="0" fillId="0" borderId="23" xfId="82" applyNumberFormat="1" applyFont="1" applyFill="1" applyBorder="1">
      <alignment/>
      <protection/>
    </xf>
    <xf numFmtId="37" fontId="0" fillId="0" borderId="24" xfId="82" applyNumberFormat="1" applyFont="1" applyFill="1" applyBorder="1">
      <alignment/>
      <protection/>
    </xf>
    <xf numFmtId="5" fontId="2" fillId="0" borderId="31" xfId="82" applyNumberFormat="1" applyFont="1" applyFill="1" applyBorder="1">
      <alignment/>
      <protection/>
    </xf>
    <xf numFmtId="5" fontId="0" fillId="0" borderId="25" xfId="82" applyNumberFormat="1" applyFont="1" applyFill="1" applyBorder="1">
      <alignment/>
      <protection/>
    </xf>
    <xf numFmtId="37" fontId="0" fillId="0" borderId="32" xfId="82" applyNumberFormat="1" applyFont="1" applyFill="1" applyBorder="1">
      <alignment/>
      <protection/>
    </xf>
    <xf numFmtId="5" fontId="0" fillId="0" borderId="33" xfId="82" applyNumberFormat="1" applyFont="1" applyFill="1" applyBorder="1">
      <alignment/>
      <protection/>
    </xf>
    <xf numFmtId="5" fontId="2" fillId="0" borderId="22" xfId="82" applyNumberFormat="1" applyFont="1" applyFill="1" applyBorder="1">
      <alignment/>
      <protection/>
    </xf>
    <xf numFmtId="5" fontId="0" fillId="0" borderId="0" xfId="82" applyNumberFormat="1" applyFont="1" applyFill="1" applyBorder="1">
      <alignment/>
      <protection/>
    </xf>
    <xf numFmtId="5" fontId="0" fillId="0" borderId="24" xfId="82" applyNumberFormat="1" applyFont="1" applyFill="1" applyBorder="1">
      <alignment/>
      <protection/>
    </xf>
    <xf numFmtId="5" fontId="0" fillId="0" borderId="22" xfId="82" applyNumberFormat="1" applyFont="1" applyFill="1" applyBorder="1">
      <alignment/>
      <protection/>
    </xf>
    <xf numFmtId="0" fontId="0" fillId="0" borderId="22" xfId="82" applyFont="1" applyFill="1" applyBorder="1">
      <alignment/>
      <protection/>
    </xf>
    <xf numFmtId="37" fontId="0" fillId="0" borderId="18" xfId="82" applyNumberFormat="1" applyFont="1" applyFill="1" applyBorder="1">
      <alignment/>
      <protection/>
    </xf>
    <xf numFmtId="5" fontId="2" fillId="0" borderId="34" xfId="82" applyNumberFormat="1" applyFont="1" applyFill="1" applyBorder="1">
      <alignment/>
      <protection/>
    </xf>
    <xf numFmtId="5" fontId="2" fillId="0" borderId="27" xfId="82" applyNumberFormat="1" applyFont="1" applyFill="1" applyBorder="1">
      <alignment/>
      <protection/>
    </xf>
    <xf numFmtId="37" fontId="2" fillId="0" borderId="35" xfId="82" applyNumberFormat="1" applyFont="1" applyFill="1" applyBorder="1">
      <alignment/>
      <protection/>
    </xf>
    <xf numFmtId="5" fontId="2" fillId="0" borderId="36" xfId="82" applyNumberFormat="1" applyFont="1" applyFill="1" applyBorder="1">
      <alignment/>
      <protection/>
    </xf>
    <xf numFmtId="5" fontId="2" fillId="0" borderId="10" xfId="82" applyNumberFormat="1" applyFont="1" applyFill="1" applyBorder="1">
      <alignment/>
      <protection/>
    </xf>
    <xf numFmtId="37" fontId="44" fillId="0" borderId="11" xfId="0" applyNumberFormat="1" applyFont="1" applyFill="1" applyBorder="1" applyAlignment="1">
      <alignment horizontal="center" vertical="center" wrapText="1"/>
    </xf>
    <xf numFmtId="0" fontId="9" fillId="0" borderId="15" xfId="82" applyFont="1" applyFill="1" applyBorder="1" applyAlignment="1">
      <alignment horizontal="center" wrapText="1"/>
      <protection/>
    </xf>
    <xf numFmtId="0" fontId="0" fillId="0" borderId="37" xfId="82" applyFont="1" applyFill="1" applyBorder="1" applyAlignment="1">
      <alignment horizontal="center" wrapText="1"/>
      <protection/>
    </xf>
    <xf numFmtId="37" fontId="5" fillId="0" borderId="15" xfId="73" applyNumberFormat="1" applyFont="1" applyFill="1" applyBorder="1" applyAlignment="1">
      <alignment horizontal="center" vertical="center" wrapText="1"/>
      <protection/>
    </xf>
    <xf numFmtId="0" fontId="5" fillId="0" borderId="16" xfId="82" applyFont="1" applyFill="1" applyBorder="1" applyAlignment="1">
      <alignment horizontal="center" vertical="center" wrapText="1"/>
      <protection/>
    </xf>
    <xf numFmtId="5" fontId="9" fillId="0" borderId="15" xfId="82" applyNumberFormat="1" applyFont="1" applyFill="1" applyBorder="1">
      <alignment/>
      <protection/>
    </xf>
    <xf numFmtId="37" fontId="9" fillId="0" borderId="15" xfId="82" applyNumberFormat="1" applyFont="1" applyFill="1" applyBorder="1">
      <alignment/>
      <protection/>
    </xf>
    <xf numFmtId="37" fontId="0" fillId="0" borderId="15" xfId="82" applyNumberFormat="1" applyFont="1" applyFill="1" applyBorder="1">
      <alignment/>
      <protection/>
    </xf>
    <xf numFmtId="5" fontId="0" fillId="0" borderId="38" xfId="82" applyNumberFormat="1" applyFont="1" applyFill="1" applyBorder="1">
      <alignment/>
      <protection/>
    </xf>
    <xf numFmtId="5" fontId="0" fillId="0" borderId="15" xfId="82" applyNumberFormat="1" applyFont="1" applyFill="1" applyBorder="1">
      <alignment/>
      <protection/>
    </xf>
    <xf numFmtId="37" fontId="0" fillId="0" borderId="17" xfId="82" applyNumberFormat="1" applyFont="1" applyFill="1" applyBorder="1">
      <alignment/>
      <protection/>
    </xf>
    <xf numFmtId="5" fontId="99" fillId="0" borderId="26" xfId="52" applyNumberFormat="1" applyFont="1" applyFill="1" applyBorder="1" applyAlignment="1">
      <alignment/>
    </xf>
    <xf numFmtId="5" fontId="99" fillId="0" borderId="28" xfId="52" applyNumberFormat="1" applyFont="1" applyFill="1" applyBorder="1" applyAlignment="1">
      <alignment/>
    </xf>
    <xf numFmtId="37" fontId="5" fillId="0" borderId="11" xfId="0" applyNumberFormat="1" applyFont="1" applyFill="1" applyBorder="1" applyAlignment="1">
      <alignment horizontal="center" vertical="center" wrapText="1"/>
    </xf>
    <xf numFmtId="37" fontId="114" fillId="0" borderId="11" xfId="54" applyNumberFormat="1" applyFont="1" applyFill="1" applyBorder="1" applyAlignment="1">
      <alignment/>
    </xf>
    <xf numFmtId="37" fontId="99" fillId="0" borderId="10" xfId="83" applyNumberFormat="1" applyFont="1" applyFill="1" applyBorder="1">
      <alignment/>
      <protection/>
    </xf>
    <xf numFmtId="37" fontId="101" fillId="0" borderId="0" xfId="83" applyNumberFormat="1" applyFont="1" applyFill="1" applyBorder="1" applyAlignment="1">
      <alignment horizontal="center" wrapText="1"/>
      <protection/>
    </xf>
    <xf numFmtId="37" fontId="101" fillId="0" borderId="0" xfId="83" applyNumberFormat="1" applyFont="1" applyFill="1" applyBorder="1">
      <alignment/>
      <protection/>
    </xf>
    <xf numFmtId="5" fontId="99" fillId="0" borderId="0" xfId="83" applyNumberFormat="1" applyFont="1" applyFill="1" applyBorder="1">
      <alignment/>
      <protection/>
    </xf>
    <xf numFmtId="37" fontId="99" fillId="0" borderId="18" xfId="83" applyNumberFormat="1" applyFont="1" applyFill="1" applyBorder="1">
      <alignment/>
      <protection/>
    </xf>
    <xf numFmtId="37" fontId="8" fillId="0" borderId="0" xfId="0" applyNumberFormat="1" applyFont="1" applyFill="1" applyBorder="1" applyAlignment="1">
      <alignment horizontal="center" wrapText="1"/>
    </xf>
    <xf numFmtId="37" fontId="105" fillId="0" borderId="0" xfId="54" applyNumberFormat="1" applyFont="1" applyFill="1" applyBorder="1" applyAlignment="1" quotePrefix="1">
      <alignment horizontal="center"/>
    </xf>
    <xf numFmtId="5" fontId="116" fillId="0" borderId="0" xfId="54" applyNumberFormat="1" applyFont="1" applyFill="1" applyBorder="1" applyAlignment="1">
      <alignment/>
    </xf>
    <xf numFmtId="37" fontId="116" fillId="0" borderId="0" xfId="54" applyNumberFormat="1" applyFont="1" applyFill="1" applyBorder="1" applyAlignment="1">
      <alignment/>
    </xf>
    <xf numFmtId="5" fontId="116" fillId="0" borderId="25" xfId="54" applyNumberFormat="1" applyFont="1" applyFill="1" applyBorder="1" applyAlignment="1">
      <alignment/>
    </xf>
    <xf numFmtId="37" fontId="116" fillId="0" borderId="18" xfId="54" applyNumberFormat="1" applyFont="1" applyFill="1" applyBorder="1" applyAlignment="1">
      <alignment/>
    </xf>
    <xf numFmtId="5" fontId="116" fillId="0" borderId="27" xfId="54" applyNumberFormat="1" applyFont="1" applyFill="1" applyBorder="1" applyAlignment="1">
      <alignment/>
    </xf>
    <xf numFmtId="37" fontId="3" fillId="0" borderId="0" xfId="0" applyNumberFormat="1" applyFont="1" applyFill="1" applyAlignment="1" quotePrefix="1">
      <alignment horizontal="center"/>
    </xf>
    <xf numFmtId="5" fontId="114" fillId="0" borderId="0" xfId="42" applyNumberFormat="1" applyFont="1" applyFill="1" applyBorder="1" applyAlignment="1">
      <alignment/>
    </xf>
    <xf numFmtId="0" fontId="99" fillId="0" borderId="12" xfId="73" applyFont="1" applyFill="1" applyBorder="1" applyAlignment="1" quotePrefix="1">
      <alignment horizontal="centerContinuous"/>
      <protection/>
    </xf>
    <xf numFmtId="0" fontId="99" fillId="0" borderId="39" xfId="73" applyFont="1" applyFill="1" applyBorder="1" applyAlignment="1" quotePrefix="1">
      <alignment horizontal="centerContinuous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64" fontId="0" fillId="0" borderId="0" xfId="95" applyNumberFormat="1" applyFont="1" applyFill="1" applyAlignment="1">
      <alignment/>
    </xf>
    <xf numFmtId="0" fontId="0" fillId="0" borderId="24" xfId="82" applyFont="1" applyFill="1" applyBorder="1">
      <alignment/>
      <protection/>
    </xf>
    <xf numFmtId="37" fontId="0" fillId="0" borderId="0" xfId="0" applyNumberFormat="1" applyFont="1" applyFill="1" applyAlignment="1">
      <alignment horizontal="right"/>
    </xf>
    <xf numFmtId="37" fontId="0" fillId="0" borderId="10" xfId="0" applyNumberFormat="1" applyFont="1" applyFill="1" applyBorder="1" applyAlignment="1">
      <alignment horizontal="center" wrapText="1"/>
    </xf>
    <xf numFmtId="0" fontId="99" fillId="0" borderId="14" xfId="73" applyFont="1" applyFill="1" applyBorder="1" applyAlignment="1">
      <alignment horizontal="centerContinuous" wrapText="1"/>
      <protection/>
    </xf>
    <xf numFmtId="0" fontId="99" fillId="0" borderId="10" xfId="73" applyFont="1" applyFill="1" applyBorder="1" applyAlignment="1">
      <alignment horizontal="centerContinuous"/>
      <protection/>
    </xf>
    <xf numFmtId="37" fontId="8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 quotePrefix="1">
      <alignment horizontal="center"/>
    </xf>
    <xf numFmtId="0" fontId="0" fillId="0" borderId="0" xfId="82" applyFont="1" applyFill="1" applyBorder="1" applyAlignment="1">
      <alignment horizontal="center" wrapText="1"/>
      <protection/>
    </xf>
    <xf numFmtId="0" fontId="0" fillId="0" borderId="0" xfId="82" applyFont="1" applyFill="1" applyBorder="1">
      <alignment/>
      <protection/>
    </xf>
    <xf numFmtId="0" fontId="9" fillId="0" borderId="0" xfId="82" applyFont="1" applyFill="1" applyBorder="1" applyAlignment="1">
      <alignment horizontal="center"/>
      <protection/>
    </xf>
    <xf numFmtId="0" fontId="9" fillId="0" borderId="0" xfId="82" applyFont="1" applyFill="1" applyBorder="1" applyAlignment="1">
      <alignment vertical="center"/>
      <protection/>
    </xf>
    <xf numFmtId="37" fontId="9" fillId="0" borderId="0" xfId="0" applyNumberFormat="1" applyFont="1" applyFill="1" applyAlignment="1">
      <alignment/>
    </xf>
    <xf numFmtId="37" fontId="9" fillId="0" borderId="0" xfId="0" applyNumberFormat="1" applyFont="1" applyFill="1" applyBorder="1" applyAlignment="1">
      <alignment/>
    </xf>
    <xf numFmtId="37" fontId="101" fillId="0" borderId="0" xfId="54" applyNumberFormat="1" applyFont="1" applyFill="1" applyBorder="1" applyAlignment="1">
      <alignment horizontal="center" wrapText="1"/>
    </xf>
    <xf numFmtId="37" fontId="117" fillId="0" borderId="0" xfId="54" applyNumberFormat="1" applyFont="1" applyFill="1" applyBorder="1" applyAlignment="1">
      <alignment horizontal="left" wrapText="1"/>
    </xf>
    <xf numFmtId="0" fontId="8" fillId="0" borderId="40" xfId="82" applyFont="1" applyFill="1" applyBorder="1" applyAlignment="1">
      <alignment/>
      <protection/>
    </xf>
    <xf numFmtId="0" fontId="8" fillId="0" borderId="41" xfId="82" applyFont="1" applyFill="1" applyBorder="1" applyAlignment="1">
      <alignment/>
      <protection/>
    </xf>
    <xf numFmtId="0" fontId="8" fillId="0" borderId="42" xfId="82" applyFont="1" applyFill="1" applyBorder="1" applyAlignment="1">
      <alignment/>
      <protection/>
    </xf>
    <xf numFmtId="0" fontId="110" fillId="0" borderId="23" xfId="82" applyFont="1" applyFill="1" applyBorder="1" applyAlignment="1">
      <alignment horizontal="center" vertical="center" wrapText="1"/>
      <protection/>
    </xf>
    <xf numFmtId="37" fontId="9" fillId="0" borderId="23" xfId="82" applyNumberFormat="1" applyFont="1" applyFill="1" applyBorder="1" applyAlignment="1">
      <alignment horizontal="right"/>
      <protection/>
    </xf>
    <xf numFmtId="37" fontId="0" fillId="0" borderId="23" xfId="82" applyNumberFormat="1" applyFont="1" applyFill="1" applyBorder="1" applyAlignment="1">
      <alignment horizontal="right"/>
      <protection/>
    </xf>
    <xf numFmtId="37" fontId="0" fillId="0" borderId="33" xfId="82" applyNumberFormat="1" applyFont="1" applyFill="1" applyBorder="1">
      <alignment/>
      <protection/>
    </xf>
    <xf numFmtId="37" fontId="2" fillId="0" borderId="36" xfId="82" applyNumberFormat="1" applyFont="1" applyFill="1" applyBorder="1">
      <alignment/>
      <protection/>
    </xf>
    <xf numFmtId="0" fontId="104" fillId="0" borderId="0" xfId="82" applyFont="1" applyFill="1" applyBorder="1" applyAlignment="1">
      <alignment horizontal="center" vertical="center" wrapText="1"/>
      <protection/>
    </xf>
    <xf numFmtId="0" fontId="9" fillId="0" borderId="40" xfId="82" applyFont="1" applyFill="1" applyBorder="1" applyAlignment="1">
      <alignment horizontal="center"/>
      <protection/>
    </xf>
    <xf numFmtId="0" fontId="9" fillId="0" borderId="42" xfId="82" applyFont="1" applyFill="1" applyBorder="1" applyAlignment="1">
      <alignment horizontal="center"/>
      <protection/>
    </xf>
    <xf numFmtId="5" fontId="9" fillId="0" borderId="23" xfId="82" applyNumberFormat="1" applyFont="1" applyFill="1" applyBorder="1">
      <alignment/>
      <protection/>
    </xf>
    <xf numFmtId="5" fontId="0" fillId="0" borderId="32" xfId="82" applyNumberFormat="1" applyFont="1" applyFill="1" applyBorder="1">
      <alignment/>
      <protection/>
    </xf>
    <xf numFmtId="5" fontId="0" fillId="0" borderId="23" xfId="82" applyNumberFormat="1" applyFont="1" applyFill="1" applyBorder="1">
      <alignment/>
      <protection/>
    </xf>
    <xf numFmtId="5" fontId="2" fillId="0" borderId="35" xfId="82" applyNumberFormat="1" applyFont="1" applyFill="1" applyBorder="1">
      <alignment/>
      <protection/>
    </xf>
    <xf numFmtId="165" fontId="9" fillId="0" borderId="24" xfId="82" applyNumberFormat="1" applyFont="1" applyFill="1" applyBorder="1">
      <alignment/>
      <protection/>
    </xf>
    <xf numFmtId="0" fontId="0" fillId="0" borderId="43" xfId="82" applyFont="1" applyFill="1" applyBorder="1" applyAlignment="1">
      <alignment horizontal="center" wrapText="1"/>
      <protection/>
    </xf>
    <xf numFmtId="37" fontId="0" fillId="0" borderId="44" xfId="82" applyNumberFormat="1" applyFont="1" applyFill="1" applyBorder="1">
      <alignment/>
      <protection/>
    </xf>
    <xf numFmtId="37" fontId="104" fillId="0" borderId="0" xfId="73" applyNumberFormat="1" applyFont="1" applyFill="1" applyBorder="1" applyAlignment="1">
      <alignment horizontal="center" vertical="center"/>
      <protection/>
    </xf>
    <xf numFmtId="0" fontId="5" fillId="0" borderId="24" xfId="82" applyFont="1" applyFill="1" applyBorder="1" applyAlignment="1">
      <alignment horizontal="center" vertical="center" wrapText="1"/>
      <protection/>
    </xf>
    <xf numFmtId="0" fontId="118" fillId="0" borderId="24" xfId="82" applyFont="1" applyFill="1" applyBorder="1" applyAlignment="1">
      <alignment horizontal="center" vertical="center" wrapText="1"/>
      <protection/>
    </xf>
    <xf numFmtId="0" fontId="99" fillId="0" borderId="23" xfId="82" applyFont="1" applyFill="1" applyBorder="1" applyAlignment="1">
      <alignment horizontal="center" vertical="center" wrapText="1"/>
      <protection/>
    </xf>
    <xf numFmtId="0" fontId="99" fillId="0" borderId="24" xfId="82" applyFont="1" applyFill="1" applyBorder="1" applyAlignment="1">
      <alignment horizontal="center" vertical="center" wrapText="1"/>
      <protection/>
    </xf>
    <xf numFmtId="0" fontId="9" fillId="0" borderId="45" xfId="82" applyFont="1" applyFill="1" applyBorder="1">
      <alignment/>
      <protection/>
    </xf>
    <xf numFmtId="0" fontId="0" fillId="0" borderId="46" xfId="82" applyFont="1" applyFill="1" applyBorder="1" applyAlignment="1">
      <alignment horizontal="center" wrapText="1"/>
      <protection/>
    </xf>
    <xf numFmtId="5" fontId="2" fillId="0" borderId="47" xfId="82" applyNumberFormat="1" applyFont="1" applyFill="1" applyBorder="1">
      <alignment/>
      <protection/>
    </xf>
    <xf numFmtId="37" fontId="107" fillId="0" borderId="0" xfId="0" applyNumberFormat="1" applyFont="1" applyFill="1" applyAlignment="1">
      <alignment horizontal="right"/>
    </xf>
    <xf numFmtId="37" fontId="107" fillId="0" borderId="0" xfId="0" applyNumberFormat="1" applyFont="1" applyFill="1" applyAlignment="1">
      <alignment/>
    </xf>
    <xf numFmtId="37" fontId="46" fillId="0" borderId="0" xfId="0" applyNumberFormat="1" applyFont="1" applyFill="1" applyBorder="1" applyAlignment="1">
      <alignment vertical="top"/>
    </xf>
    <xf numFmtId="37" fontId="107" fillId="0" borderId="0" xfId="0" applyNumberFormat="1" applyFont="1" applyFill="1" applyAlignment="1">
      <alignment vertical="top"/>
    </xf>
    <xf numFmtId="37" fontId="119" fillId="0" borderId="26" xfId="83" applyNumberFormat="1" applyFont="1" applyFill="1" applyBorder="1" applyAlignment="1">
      <alignment horizontal="center" wrapText="1"/>
      <protection/>
    </xf>
    <xf numFmtId="37" fontId="8" fillId="0" borderId="25" xfId="0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 wrapText="1"/>
    </xf>
    <xf numFmtId="37" fontId="8" fillId="0" borderId="0" xfId="0" applyNumberFormat="1" applyFont="1" applyFill="1" applyBorder="1" applyAlignment="1">
      <alignment horizontal="center" vertical="center" wrapText="1"/>
    </xf>
    <xf numFmtId="37" fontId="47" fillId="0" borderId="0" xfId="0" applyNumberFormat="1" applyFont="1" applyFill="1" applyBorder="1" applyAlignment="1">
      <alignment horizontal="center" wrapText="1"/>
    </xf>
    <xf numFmtId="37" fontId="104" fillId="0" borderId="0" xfId="83" applyNumberFormat="1" applyFont="1" applyFill="1" applyBorder="1" applyAlignment="1">
      <alignment horizontal="center" vertical="center"/>
      <protection/>
    </xf>
    <xf numFmtId="37" fontId="38" fillId="0" borderId="0" xfId="0" applyNumberFormat="1" applyFont="1" applyFill="1" applyAlignment="1">
      <alignment vertical="top"/>
    </xf>
    <xf numFmtId="37" fontId="35" fillId="0" borderId="0" xfId="0" applyNumberFormat="1" applyFont="1" applyFill="1" applyAlignment="1">
      <alignment/>
    </xf>
    <xf numFmtId="37" fontId="35" fillId="0" borderId="0" xfId="0" applyNumberFormat="1" applyFont="1" applyFill="1" applyAlignment="1">
      <alignment horizontal="left"/>
    </xf>
    <xf numFmtId="0" fontId="5" fillId="0" borderId="22" xfId="82" applyFont="1" applyFill="1" applyBorder="1" applyAlignment="1">
      <alignment horizontal="center" vertical="center" wrapText="1"/>
      <protection/>
    </xf>
    <xf numFmtId="5" fontId="0" fillId="0" borderId="31" xfId="82" applyNumberFormat="1" applyFont="1" applyFill="1" applyBorder="1">
      <alignment/>
      <protection/>
    </xf>
    <xf numFmtId="0" fontId="9" fillId="0" borderId="48" xfId="82" applyFont="1" applyFill="1" applyBorder="1" applyAlignment="1">
      <alignment horizontal="center" wrapText="1"/>
      <protection/>
    </xf>
    <xf numFmtId="37" fontId="99" fillId="0" borderId="0" xfId="77" applyNumberFormat="1" applyFont="1" applyFill="1" applyAlignment="1">
      <alignment horizontal="left" vertical="top" wrapText="1"/>
      <protection/>
    </xf>
    <xf numFmtId="37" fontId="9" fillId="0" borderId="0" xfId="0" applyNumberFormat="1" applyFont="1" applyFill="1" applyBorder="1" applyAlignment="1">
      <alignment horizontal="center" wrapText="1"/>
    </xf>
    <xf numFmtId="0" fontId="0" fillId="0" borderId="49" xfId="82" applyFont="1" applyFill="1" applyBorder="1" applyAlignment="1">
      <alignment horizontal="center" wrapText="1"/>
      <protection/>
    </xf>
    <xf numFmtId="0" fontId="9" fillId="0" borderId="50" xfId="82" applyFont="1" applyFill="1" applyBorder="1">
      <alignment/>
      <protection/>
    </xf>
    <xf numFmtId="5" fontId="2" fillId="0" borderId="25" xfId="82" applyNumberFormat="1" applyFont="1" applyFill="1" applyBorder="1">
      <alignment/>
      <protection/>
    </xf>
    <xf numFmtId="5" fontId="2" fillId="0" borderId="0" xfId="82" applyNumberFormat="1" applyFont="1" applyFill="1" applyBorder="1">
      <alignment/>
      <protection/>
    </xf>
    <xf numFmtId="5" fontId="2" fillId="0" borderId="32" xfId="82" applyNumberFormat="1" applyFont="1" applyFill="1" applyBorder="1">
      <alignment/>
      <protection/>
    </xf>
    <xf numFmtId="5" fontId="2" fillId="0" borderId="23" xfId="82" applyNumberFormat="1" applyFont="1" applyFill="1" applyBorder="1">
      <alignment/>
      <protection/>
    </xf>
    <xf numFmtId="0" fontId="0" fillId="0" borderId="23" xfId="82" applyFont="1" applyFill="1" applyBorder="1">
      <alignment/>
      <protection/>
    </xf>
    <xf numFmtId="37" fontId="5" fillId="0" borderId="23" xfId="73" applyNumberFormat="1" applyFont="1" applyFill="1" applyBorder="1" applyAlignment="1">
      <alignment horizontal="center" vertical="center"/>
      <protection/>
    </xf>
    <xf numFmtId="5" fontId="2" fillId="0" borderId="51" xfId="82" applyNumberFormat="1" applyFont="1" applyFill="1" applyBorder="1">
      <alignment/>
      <protection/>
    </xf>
    <xf numFmtId="5" fontId="2" fillId="0" borderId="49" xfId="82" applyNumberFormat="1" applyFont="1" applyFill="1" applyBorder="1">
      <alignment/>
      <protection/>
    </xf>
    <xf numFmtId="0" fontId="9" fillId="0" borderId="52" xfId="82" applyFont="1" applyFill="1" applyBorder="1" applyAlignment="1">
      <alignment horizontal="center" wrapText="1"/>
      <protection/>
    </xf>
    <xf numFmtId="0" fontId="9" fillId="0" borderId="43" xfId="82" applyFont="1" applyFill="1" applyBorder="1" applyAlignment="1">
      <alignment horizontal="center" wrapText="1"/>
      <protection/>
    </xf>
    <xf numFmtId="37" fontId="54" fillId="0" borderId="0" xfId="73" applyNumberFormat="1" applyFont="1" applyFill="1" applyBorder="1" applyAlignment="1">
      <alignment horizontal="center" vertical="center"/>
      <protection/>
    </xf>
    <xf numFmtId="0" fontId="8" fillId="0" borderId="0" xfId="82" applyFont="1" applyFill="1" applyBorder="1" applyAlignment="1">
      <alignment horizontal="center" wrapText="1"/>
      <protection/>
    </xf>
    <xf numFmtId="5" fontId="8" fillId="0" borderId="0" xfId="82" applyNumberFormat="1" applyFont="1" applyFill="1" applyBorder="1">
      <alignment/>
      <protection/>
    </xf>
    <xf numFmtId="37" fontId="8" fillId="0" borderId="0" xfId="82" applyNumberFormat="1" applyFont="1" applyFill="1" applyBorder="1">
      <alignment/>
      <protection/>
    </xf>
    <xf numFmtId="37" fontId="2" fillId="0" borderId="0" xfId="82" applyNumberFormat="1" applyFont="1" applyFill="1" applyBorder="1">
      <alignment/>
      <protection/>
    </xf>
    <xf numFmtId="0" fontId="5" fillId="0" borderId="23" xfId="82" applyFont="1" applyFill="1" applyBorder="1" applyAlignment="1">
      <alignment horizontal="center" vertical="center" wrapText="1"/>
      <protection/>
    </xf>
    <xf numFmtId="37" fontId="5" fillId="0" borderId="24" xfId="73" applyNumberFormat="1" applyFont="1" applyFill="1" applyBorder="1" applyAlignment="1">
      <alignment horizontal="center" vertical="center"/>
      <protection/>
    </xf>
    <xf numFmtId="37" fontId="0" fillId="0" borderId="53" xfId="82" applyNumberFormat="1" applyFont="1" applyFill="1" applyBorder="1">
      <alignment/>
      <protection/>
    </xf>
    <xf numFmtId="5" fontId="0" fillId="0" borderId="53" xfId="82" applyNumberFormat="1" applyFont="1" applyFill="1" applyBorder="1">
      <alignment/>
      <protection/>
    </xf>
    <xf numFmtId="5" fontId="0" fillId="0" borderId="18" xfId="82" applyNumberFormat="1" applyFont="1" applyFill="1" applyBorder="1">
      <alignment/>
      <protection/>
    </xf>
    <xf numFmtId="5" fontId="0" fillId="0" borderId="44" xfId="82" applyNumberFormat="1" applyFont="1" applyFill="1" applyBorder="1">
      <alignment/>
      <protection/>
    </xf>
    <xf numFmtId="166" fontId="99" fillId="0" borderId="0" xfId="42" applyNumberFormat="1" applyFont="1" applyFill="1" applyBorder="1" applyAlignment="1">
      <alignment/>
    </xf>
    <xf numFmtId="5" fontId="120" fillId="0" borderId="0" xfId="0" applyNumberFormat="1" applyFont="1" applyFill="1" applyBorder="1" applyAlignment="1">
      <alignment horizontal="right" vertical="center"/>
    </xf>
    <xf numFmtId="37" fontId="120" fillId="0" borderId="0" xfId="0" applyNumberFormat="1" applyFont="1" applyFill="1" applyBorder="1" applyAlignment="1">
      <alignment horizontal="right" vertical="center"/>
    </xf>
    <xf numFmtId="5" fontId="99" fillId="0" borderId="38" xfId="52" applyNumberFormat="1" applyFont="1" applyFill="1" applyBorder="1" applyAlignment="1">
      <alignment/>
    </xf>
    <xf numFmtId="5" fontId="99" fillId="0" borderId="54" xfId="52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 horizontal="center" wrapText="1"/>
    </xf>
    <xf numFmtId="37" fontId="9" fillId="34" borderId="10" xfId="0" applyNumberFormat="1" applyFont="1" applyFill="1" applyBorder="1" applyAlignment="1">
      <alignment horizontal="center" wrapText="1"/>
    </xf>
    <xf numFmtId="37" fontId="55" fillId="34" borderId="0" xfId="0" applyNumberFormat="1" applyFont="1" applyFill="1" applyBorder="1" applyAlignment="1">
      <alignment horizontal="center" vertical="center" wrapText="1"/>
    </xf>
    <xf numFmtId="37" fontId="0" fillId="34" borderId="0" xfId="0" applyNumberFormat="1" applyFont="1" applyFill="1" applyAlignment="1">
      <alignment/>
    </xf>
    <xf numFmtId="5" fontId="0" fillId="34" borderId="0" xfId="0" applyNumberFormat="1" applyFont="1" applyFill="1" applyAlignment="1">
      <alignment/>
    </xf>
    <xf numFmtId="5" fontId="0" fillId="34" borderId="25" xfId="0" applyNumberFormat="1" applyFont="1" applyFill="1" applyBorder="1" applyAlignment="1">
      <alignment/>
    </xf>
    <xf numFmtId="5" fontId="0" fillId="34" borderId="27" xfId="0" applyNumberFormat="1" applyFont="1" applyFill="1" applyBorder="1" applyAlignment="1">
      <alignment/>
    </xf>
    <xf numFmtId="37" fontId="56" fillId="34" borderId="0" xfId="0" applyNumberFormat="1" applyFont="1" applyFill="1" applyAlignment="1">
      <alignment horizontal="center" vertical="center" wrapText="1"/>
    </xf>
    <xf numFmtId="37" fontId="5" fillId="34" borderId="0" xfId="0" applyNumberFormat="1" applyFont="1" applyFill="1" applyAlignment="1">
      <alignment horizontal="center" vertical="center" wrapText="1"/>
    </xf>
    <xf numFmtId="37" fontId="5" fillId="34" borderId="0" xfId="0" applyNumberFormat="1" applyFont="1" applyFill="1" applyBorder="1" applyAlignment="1">
      <alignment horizontal="center" vertical="center" wrapText="1"/>
    </xf>
    <xf numFmtId="5" fontId="0" fillId="34" borderId="0" xfId="73" applyNumberFormat="1" applyFont="1" applyFill="1">
      <alignment/>
      <protection/>
    </xf>
    <xf numFmtId="37" fontId="0" fillId="34" borderId="0" xfId="73" applyNumberFormat="1" applyFont="1" applyFill="1">
      <alignment/>
      <protection/>
    </xf>
    <xf numFmtId="5" fontId="7" fillId="34" borderId="27" xfId="0" applyNumberFormat="1" applyFont="1" applyFill="1" applyBorder="1" applyAlignment="1">
      <alignment/>
    </xf>
    <xf numFmtId="37" fontId="121" fillId="0" borderId="0" xfId="0" applyNumberFormat="1" applyFont="1" applyFill="1" applyBorder="1" applyAlignment="1">
      <alignment horizontal="center" vertical="center" wrapText="1"/>
    </xf>
    <xf numFmtId="37" fontId="122" fillId="0" borderId="0" xfId="0" applyNumberFormat="1" applyFont="1" applyFill="1" applyBorder="1" applyAlignment="1" quotePrefix="1">
      <alignment horizontal="center" vertical="center" wrapText="1"/>
    </xf>
    <xf numFmtId="5" fontId="123" fillId="34" borderId="27" xfId="0" applyNumberFormat="1" applyFont="1" applyFill="1" applyBorder="1" applyAlignment="1">
      <alignment/>
    </xf>
    <xf numFmtId="37" fontId="123" fillId="34" borderId="0" xfId="73" applyNumberFormat="1" applyFont="1" applyFill="1">
      <alignment/>
      <protection/>
    </xf>
    <xf numFmtId="37" fontId="124" fillId="0" borderId="0" xfId="0" applyNumberFormat="1" applyFont="1" applyFill="1" applyAlignment="1">
      <alignment horizontal="right"/>
    </xf>
    <xf numFmtId="37" fontId="123" fillId="34" borderId="0" xfId="0" applyNumberFormat="1" applyFont="1" applyFill="1" applyAlignment="1">
      <alignment/>
    </xf>
    <xf numFmtId="37" fontId="58" fillId="0" borderId="27" xfId="0" applyNumberFormat="1" applyFont="1" applyFill="1" applyBorder="1" applyAlignment="1">
      <alignment horizontal="center" wrapText="1"/>
    </xf>
    <xf numFmtId="37" fontId="8" fillId="34" borderId="55" xfId="0" applyNumberFormat="1" applyFont="1" applyFill="1" applyBorder="1" applyAlignment="1">
      <alignment horizontal="center" vertical="center"/>
    </xf>
    <xf numFmtId="37" fontId="8" fillId="0" borderId="55" xfId="0" applyNumberFormat="1" applyFont="1" applyFill="1" applyBorder="1" applyAlignment="1">
      <alignment horizontal="center" vertical="center"/>
    </xf>
    <xf numFmtId="37" fontId="8" fillId="0" borderId="55" xfId="0" applyNumberFormat="1" applyFont="1" applyFill="1" applyBorder="1" applyAlignment="1">
      <alignment horizontal="center" vertical="center" wrapText="1"/>
    </xf>
    <xf numFmtId="37" fontId="8" fillId="0" borderId="18" xfId="0" applyNumberFormat="1" applyFont="1" applyFill="1" applyBorder="1" applyAlignment="1">
      <alignment horizontal="center"/>
    </xf>
    <xf numFmtId="37" fontId="47" fillId="0" borderId="0" xfId="0" applyNumberFormat="1" applyFont="1" applyFill="1" applyBorder="1" applyAlignment="1">
      <alignment horizontal="center" wrapText="1"/>
    </xf>
    <xf numFmtId="37" fontId="8" fillId="0" borderId="55" xfId="0" applyNumberFormat="1" applyFont="1" applyFill="1" applyBorder="1" applyAlignment="1" quotePrefix="1">
      <alignment horizontal="center" vertical="center"/>
    </xf>
    <xf numFmtId="37" fontId="9" fillId="34" borderId="13" xfId="0" applyNumberFormat="1" applyFont="1" applyFill="1" applyBorder="1" applyAlignment="1">
      <alignment horizontal="center" wrapText="1"/>
    </xf>
    <xf numFmtId="37" fontId="9" fillId="34" borderId="10" xfId="0" applyNumberFormat="1" applyFont="1" applyFill="1" applyBorder="1" applyAlignment="1">
      <alignment horizontal="center" wrapText="1"/>
    </xf>
    <xf numFmtId="37" fontId="47" fillId="34" borderId="13" xfId="0" applyNumberFormat="1" applyFont="1" applyFill="1" applyBorder="1" applyAlignment="1">
      <alignment horizontal="center" wrapText="1"/>
    </xf>
    <xf numFmtId="37" fontId="99" fillId="0" borderId="0" xfId="77" applyNumberFormat="1" applyFont="1" applyFill="1" applyAlignment="1">
      <alignment horizontal="left" vertical="top" wrapText="1"/>
      <protection/>
    </xf>
    <xf numFmtId="37" fontId="125" fillId="0" borderId="0" xfId="0" applyNumberFormat="1" applyFont="1" applyFill="1" applyAlignment="1">
      <alignment horizontal="left" vertical="top" wrapText="1"/>
    </xf>
    <xf numFmtId="37" fontId="9" fillId="0" borderId="0" xfId="0" applyNumberFormat="1" applyFont="1" applyFill="1" applyBorder="1" applyAlignment="1">
      <alignment horizontal="center" wrapText="1"/>
    </xf>
    <xf numFmtId="37" fontId="35" fillId="0" borderId="0" xfId="0" applyNumberFormat="1" applyFont="1" applyFill="1" applyAlignment="1">
      <alignment horizontal="left" vertical="top" wrapText="1"/>
    </xf>
    <xf numFmtId="0" fontId="35" fillId="0" borderId="0" xfId="0" applyNumberFormat="1" applyFont="1" applyFill="1" applyAlignment="1">
      <alignment horizontal="left" vertical="top" wrapText="1"/>
    </xf>
    <xf numFmtId="37" fontId="45" fillId="0" borderId="18" xfId="0" applyNumberFormat="1" applyFont="1" applyFill="1" applyBorder="1" applyAlignment="1">
      <alignment horizontal="center"/>
    </xf>
    <xf numFmtId="37" fontId="125" fillId="0" borderId="0" xfId="77" applyNumberFormat="1" applyFont="1" applyFill="1" applyAlignment="1">
      <alignment horizontal="left" vertical="top" wrapText="1"/>
      <protection/>
    </xf>
    <xf numFmtId="37" fontId="125" fillId="0" borderId="0" xfId="83" applyNumberFormat="1" applyFont="1" applyFill="1" applyAlignment="1">
      <alignment horizontal="left" vertical="top" wrapText="1"/>
      <protection/>
    </xf>
    <xf numFmtId="37" fontId="5" fillId="0" borderId="0" xfId="0" applyNumberFormat="1" applyFont="1" applyFill="1" applyBorder="1" applyAlignment="1">
      <alignment horizontal="center" vertical="center" wrapText="1"/>
    </xf>
    <xf numFmtId="37" fontId="101" fillId="0" borderId="0" xfId="83" applyNumberFormat="1" applyFont="1" applyFill="1" applyBorder="1" applyAlignment="1">
      <alignment horizontal="center" wrapText="1"/>
      <protection/>
    </xf>
    <xf numFmtId="0" fontId="8" fillId="0" borderId="52" xfId="82" applyFont="1" applyFill="1" applyBorder="1" applyAlignment="1">
      <alignment horizontal="center" vertical="center" wrapText="1"/>
      <protection/>
    </xf>
    <xf numFmtId="0" fontId="8" fillId="0" borderId="21" xfId="82" applyFont="1" applyFill="1" applyBorder="1" applyAlignment="1">
      <alignment horizontal="center" vertical="center" wrapText="1"/>
      <protection/>
    </xf>
    <xf numFmtId="0" fontId="8" fillId="0" borderId="43" xfId="82" applyFont="1" applyFill="1" applyBorder="1" applyAlignment="1">
      <alignment horizontal="center" vertical="center" wrapText="1"/>
      <protection/>
    </xf>
    <xf numFmtId="0" fontId="8" fillId="0" borderId="52" xfId="82" applyFont="1" applyFill="1" applyBorder="1" applyAlignment="1">
      <alignment horizontal="center" wrapText="1"/>
      <protection/>
    </xf>
    <xf numFmtId="0" fontId="8" fillId="0" borderId="21" xfId="82" applyFont="1" applyFill="1" applyBorder="1" applyAlignment="1">
      <alignment horizontal="center" wrapText="1"/>
      <protection/>
    </xf>
    <xf numFmtId="0" fontId="8" fillId="0" borderId="43" xfId="82" applyFont="1" applyFill="1" applyBorder="1" applyAlignment="1">
      <alignment horizontal="center" wrapText="1"/>
      <protection/>
    </xf>
    <xf numFmtId="0" fontId="0" fillId="0" borderId="51" xfId="82" applyFont="1" applyFill="1" applyBorder="1" applyAlignment="1">
      <alignment horizontal="center" wrapText="1"/>
      <protection/>
    </xf>
    <xf numFmtId="0" fontId="0" fillId="0" borderId="49" xfId="82" applyFont="1" applyFill="1" applyBorder="1" applyAlignment="1">
      <alignment horizontal="center" wrapText="1"/>
      <protection/>
    </xf>
    <xf numFmtId="37" fontId="5" fillId="0" borderId="41" xfId="73" applyNumberFormat="1" applyFont="1" applyFill="1" applyBorder="1" applyAlignment="1">
      <alignment horizontal="center" vertical="center" wrapText="1"/>
      <protection/>
    </xf>
    <xf numFmtId="0" fontId="9" fillId="0" borderId="42" xfId="82" applyFont="1" applyFill="1" applyBorder="1" applyAlignment="1">
      <alignment horizontal="center" wrapText="1"/>
      <protection/>
    </xf>
    <xf numFmtId="0" fontId="9" fillId="0" borderId="56" xfId="82" applyFont="1" applyFill="1" applyBorder="1" applyAlignment="1">
      <alignment horizontal="center" wrapText="1"/>
      <protection/>
    </xf>
    <xf numFmtId="0" fontId="3" fillId="0" borderId="52" xfId="82" applyFont="1" applyFill="1" applyBorder="1" applyAlignment="1">
      <alignment horizontal="center" wrapText="1"/>
      <protection/>
    </xf>
    <xf numFmtId="0" fontId="3" fillId="0" borderId="21" xfId="82" applyFont="1" applyFill="1" applyBorder="1" applyAlignment="1">
      <alignment horizontal="center" wrapText="1"/>
      <protection/>
    </xf>
    <xf numFmtId="0" fontId="3" fillId="0" borderId="43" xfId="82" applyFont="1" applyFill="1" applyBorder="1" applyAlignment="1">
      <alignment horizontal="center" wrapText="1"/>
      <protection/>
    </xf>
    <xf numFmtId="0" fontId="3" fillId="0" borderId="40" xfId="82" applyFont="1" applyFill="1" applyBorder="1" applyAlignment="1">
      <alignment horizontal="center" wrapText="1"/>
      <protection/>
    </xf>
    <xf numFmtId="0" fontId="3" fillId="0" borderId="41" xfId="82" applyFont="1" applyFill="1" applyBorder="1" applyAlignment="1">
      <alignment horizontal="center" wrapText="1"/>
      <protection/>
    </xf>
    <xf numFmtId="0" fontId="9" fillId="0" borderId="21" xfId="82" applyFont="1" applyFill="1" applyBorder="1" applyAlignment="1">
      <alignment horizontal="center" wrapText="1"/>
      <protection/>
    </xf>
    <xf numFmtId="0" fontId="9" fillId="0" borderId="51" xfId="82" applyFont="1" applyFill="1" applyBorder="1" applyAlignment="1">
      <alignment horizontal="center" wrapText="1"/>
      <protection/>
    </xf>
    <xf numFmtId="0" fontId="9" fillId="0" borderId="10" xfId="82" applyFont="1" applyFill="1" applyBorder="1" applyAlignment="1">
      <alignment horizontal="center" wrapText="1"/>
      <protection/>
    </xf>
    <xf numFmtId="0" fontId="9" fillId="0" borderId="49" xfId="82" applyFont="1" applyFill="1" applyBorder="1" applyAlignment="1">
      <alignment horizontal="center" wrapText="1"/>
      <protection/>
    </xf>
    <xf numFmtId="0" fontId="100" fillId="0" borderId="38" xfId="73" applyFont="1" applyFill="1" applyBorder="1" applyAlignment="1" quotePrefix="1">
      <alignment horizontal="center" wrapText="1"/>
      <protection/>
    </xf>
    <xf numFmtId="0" fontId="100" fillId="0" borderId="25" xfId="73" applyFont="1" applyFill="1" applyBorder="1" applyAlignment="1" quotePrefix="1">
      <alignment horizontal="center" wrapText="1"/>
      <protection/>
    </xf>
    <xf numFmtId="0" fontId="100" fillId="0" borderId="57" xfId="73" applyFont="1" applyFill="1" applyBorder="1" applyAlignment="1" quotePrefix="1">
      <alignment horizontal="center" wrapText="1"/>
      <protection/>
    </xf>
    <xf numFmtId="0" fontId="99" fillId="0" borderId="14" xfId="73" applyFont="1" applyFill="1" applyBorder="1" applyAlignment="1">
      <alignment horizontal="center" wrapText="1"/>
      <protection/>
    </xf>
    <xf numFmtId="0" fontId="99" fillId="0" borderId="58" xfId="73" applyFont="1" applyFill="1" applyBorder="1" applyAlignment="1">
      <alignment horizontal="center" wrapText="1"/>
      <protection/>
    </xf>
    <xf numFmtId="0" fontId="99" fillId="0" borderId="54" xfId="73" applyFont="1" applyFill="1" applyBorder="1" applyAlignment="1">
      <alignment horizontal="center" wrapText="1"/>
      <protection/>
    </xf>
    <xf numFmtId="0" fontId="99" fillId="0" borderId="59" xfId="73" applyFont="1" applyFill="1" applyBorder="1" applyAlignment="1">
      <alignment horizontal="center" wrapText="1"/>
      <protection/>
    </xf>
    <xf numFmtId="0" fontId="100" fillId="0" borderId="14" xfId="73" applyFont="1" applyFill="1" applyBorder="1" applyAlignment="1">
      <alignment horizontal="center" wrapText="1"/>
      <protection/>
    </xf>
    <xf numFmtId="0" fontId="100" fillId="0" borderId="10" xfId="73" applyFont="1" applyFill="1" applyBorder="1" applyAlignment="1">
      <alignment horizontal="center" wrapText="1"/>
      <protection/>
    </xf>
    <xf numFmtId="0" fontId="100" fillId="0" borderId="58" xfId="73" applyFont="1" applyFill="1" applyBorder="1" applyAlignment="1">
      <alignment horizontal="center" wrapText="1"/>
      <protection/>
    </xf>
    <xf numFmtId="0" fontId="101" fillId="0" borderId="14" xfId="73" applyFont="1" applyFill="1" applyBorder="1" applyAlignment="1" quotePrefix="1">
      <alignment horizontal="center" wrapText="1"/>
      <protection/>
    </xf>
    <xf numFmtId="0" fontId="101" fillId="0" borderId="58" xfId="73" applyFont="1" applyFill="1" applyBorder="1" applyAlignment="1" quotePrefix="1">
      <alignment horizontal="center"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4 2" xfId="48"/>
    <cellStyle name="Comma 5" xfId="49"/>
    <cellStyle name="Comma 6" xfId="50"/>
    <cellStyle name="Comma 6 2" xfId="51"/>
    <cellStyle name="Comma 7" xfId="52"/>
    <cellStyle name="Comma 7 2" xfId="53"/>
    <cellStyle name="Comma 7 3" xfId="54"/>
    <cellStyle name="Comma 7 4" xfId="55"/>
    <cellStyle name="Comma 8" xfId="56"/>
    <cellStyle name="Currency" xfId="57"/>
    <cellStyle name="Currency [0]" xfId="58"/>
    <cellStyle name="Currency 2" xfId="59"/>
    <cellStyle name="Currency 2 2" xfId="60"/>
    <cellStyle name="Currency 3" xfId="61"/>
    <cellStyle name="Currency 3 2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2" xfId="72"/>
    <cellStyle name="Normal 2 2" xfId="73"/>
    <cellStyle name="Normal 3" xfId="74"/>
    <cellStyle name="Normal 4" xfId="75"/>
    <cellStyle name="Normal 4 2" xfId="76"/>
    <cellStyle name="Normal 5" xfId="77"/>
    <cellStyle name="Normal 5 2" xfId="78"/>
    <cellStyle name="Normal 5 2 2" xfId="79"/>
    <cellStyle name="Normal 5 2 3" xfId="80"/>
    <cellStyle name="Normal 5 2 4" xfId="81"/>
    <cellStyle name="Normal 5 2 5" xfId="82"/>
    <cellStyle name="Normal 5 3" xfId="83"/>
    <cellStyle name="Normal 5 4" xfId="84"/>
    <cellStyle name="Normal 5 5" xfId="85"/>
    <cellStyle name="Normal 5 6" xfId="86"/>
    <cellStyle name="Normal 6" xfId="87"/>
    <cellStyle name="Normal 7" xfId="88"/>
    <cellStyle name="Normal 7 2" xfId="89"/>
    <cellStyle name="Normal 8" xfId="90"/>
    <cellStyle name="Normal 8 2" xfId="91"/>
    <cellStyle name="Normal 9" xfId="92"/>
    <cellStyle name="Note" xfId="93"/>
    <cellStyle name="Output" xfId="94"/>
    <cellStyle name="Percent" xfId="95"/>
    <cellStyle name="Percent 2" xfId="96"/>
    <cellStyle name="Percent 3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tabSelected="1" zoomScale="110" zoomScaleNormal="11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37" sqref="Y37"/>
    </sheetView>
  </sheetViews>
  <sheetFormatPr defaultColWidth="9.33203125" defaultRowHeight="12.75"/>
  <cols>
    <col min="1" max="1" width="2.33203125" style="74" customWidth="1"/>
    <col min="2" max="2" width="20.66015625" style="74" customWidth="1"/>
    <col min="3" max="3" width="14.16015625" style="74" bestFit="1" customWidth="1"/>
    <col min="4" max="4" width="1.83203125" style="74" customWidth="1"/>
    <col min="5" max="5" width="14.5" style="74" bestFit="1" customWidth="1"/>
    <col min="6" max="6" width="12.5" style="74" bestFit="1" customWidth="1"/>
    <col min="7" max="7" width="14.16015625" style="74" bestFit="1" customWidth="1"/>
    <col min="8" max="8" width="2.83203125" style="193" customWidth="1"/>
    <col min="9" max="9" width="13.33203125" style="74" bestFit="1" customWidth="1"/>
    <col min="10" max="10" width="1.83203125" style="74" customWidth="1"/>
    <col min="11" max="11" width="13.16015625" style="74" bestFit="1" customWidth="1"/>
    <col min="12" max="12" width="1.83203125" style="74" customWidth="1"/>
    <col min="13" max="13" width="13.83203125" style="74" bestFit="1" customWidth="1"/>
    <col min="14" max="14" width="1.83203125" style="74" customWidth="1"/>
    <col min="15" max="15" width="13.83203125" style="74" customWidth="1"/>
    <col min="16" max="16" width="2.83203125" style="193" customWidth="1"/>
    <col min="17" max="20" width="14.33203125" style="74" customWidth="1"/>
    <col min="21" max="21" width="2.66015625" style="74" customWidth="1"/>
    <col min="22" max="22" width="15" style="74" customWidth="1"/>
    <col min="23" max="25" width="14.33203125" style="74" customWidth="1"/>
    <col min="26" max="16384" width="9.33203125" style="74" customWidth="1"/>
  </cols>
  <sheetData>
    <row r="1" spans="2:25" ht="18" customHeight="1">
      <c r="B1" s="18" t="s">
        <v>149</v>
      </c>
      <c r="Y1" s="19" t="s">
        <v>180</v>
      </c>
    </row>
    <row r="2" spans="2:25" ht="15.75">
      <c r="B2" s="20"/>
      <c r="Y2" s="409" t="s">
        <v>189</v>
      </c>
    </row>
    <row r="3" spans="2:25" s="303" customFormat="1" ht="15" thickBot="1">
      <c r="B3" s="12"/>
      <c r="C3" s="2">
        <v>-1</v>
      </c>
      <c r="D3" s="2"/>
      <c r="E3" s="2">
        <v>-2</v>
      </c>
      <c r="F3" s="2">
        <v>-3</v>
      </c>
      <c r="G3" s="2">
        <v>-4</v>
      </c>
      <c r="H3" s="301"/>
      <c r="I3" s="2">
        <v>-5</v>
      </c>
      <c r="J3" s="2"/>
      <c r="K3" s="151" t="s">
        <v>65</v>
      </c>
      <c r="L3" s="2"/>
      <c r="M3" s="151" t="s">
        <v>68</v>
      </c>
      <c r="N3" s="302"/>
      <c r="O3" s="151" t="s">
        <v>69</v>
      </c>
      <c r="P3" s="3"/>
      <c r="Q3" s="2">
        <v>-9</v>
      </c>
      <c r="R3" s="2">
        <v>-10</v>
      </c>
      <c r="S3" s="2">
        <v>-11</v>
      </c>
      <c r="T3" s="2">
        <v>-12</v>
      </c>
      <c r="U3" s="3"/>
      <c r="V3" s="2">
        <v>-13</v>
      </c>
      <c r="W3" s="2">
        <v>-14</v>
      </c>
      <c r="X3" s="2">
        <v>-15</v>
      </c>
      <c r="Y3" s="2">
        <v>-16</v>
      </c>
    </row>
    <row r="4" spans="3:25" s="246" customFormat="1" ht="18" customHeight="1">
      <c r="C4" s="413" t="s">
        <v>150</v>
      </c>
      <c r="D4" s="413"/>
      <c r="E4" s="413"/>
      <c r="F4" s="413"/>
      <c r="G4" s="413"/>
      <c r="H4" s="247"/>
      <c r="I4" s="417" t="s">
        <v>60</v>
      </c>
      <c r="J4" s="417"/>
      <c r="K4" s="417"/>
      <c r="L4" s="417"/>
      <c r="M4" s="417"/>
      <c r="N4" s="417"/>
      <c r="O4" s="417"/>
      <c r="P4" s="247"/>
      <c r="Q4" s="414" t="s">
        <v>154</v>
      </c>
      <c r="R4" s="414"/>
      <c r="S4" s="414"/>
      <c r="T4" s="414"/>
      <c r="U4" s="353"/>
      <c r="V4" s="412" t="s">
        <v>152</v>
      </c>
      <c r="W4" s="412"/>
      <c r="X4" s="412"/>
      <c r="Y4" s="412"/>
    </row>
    <row r="5" spans="1:25" s="246" customFormat="1" ht="15" customHeight="1">
      <c r="A5" s="316"/>
      <c r="B5" s="316"/>
      <c r="C5" s="16"/>
      <c r="D5" s="16"/>
      <c r="E5" s="16"/>
      <c r="F5" s="16"/>
      <c r="G5" s="16"/>
      <c r="H5" s="317"/>
      <c r="I5" s="415" t="s">
        <v>58</v>
      </c>
      <c r="J5" s="415"/>
      <c r="K5" s="415"/>
      <c r="L5" s="415"/>
      <c r="M5" s="415"/>
      <c r="N5" s="310"/>
      <c r="O5" s="351" t="s">
        <v>129</v>
      </c>
      <c r="P5" s="317"/>
      <c r="Q5" s="416" t="s">
        <v>168</v>
      </c>
      <c r="R5" s="416"/>
      <c r="S5" s="416"/>
      <c r="T5" s="416"/>
      <c r="U5" s="354"/>
      <c r="V5" s="420" t="s">
        <v>181</v>
      </c>
      <c r="W5" s="420"/>
      <c r="X5" s="420"/>
      <c r="Y5" s="418" t="s">
        <v>152</v>
      </c>
    </row>
    <row r="6" spans="2:25" s="234" customFormat="1" ht="84" customHeight="1" thickBot="1">
      <c r="B6" s="245"/>
      <c r="C6" s="245" t="s">
        <v>97</v>
      </c>
      <c r="D6" s="245"/>
      <c r="E6" s="245" t="s">
        <v>137</v>
      </c>
      <c r="F6" s="245" t="s">
        <v>82</v>
      </c>
      <c r="G6" s="245" t="s">
        <v>151</v>
      </c>
      <c r="H6" s="352"/>
      <c r="I6" s="245" t="s">
        <v>59</v>
      </c>
      <c r="J6" s="411" t="s">
        <v>131</v>
      </c>
      <c r="K6" s="411"/>
      <c r="L6" s="411"/>
      <c r="M6" s="245" t="s">
        <v>134</v>
      </c>
      <c r="N6" s="245"/>
      <c r="O6" s="307" t="s">
        <v>135</v>
      </c>
      <c r="P6" s="352"/>
      <c r="Q6" s="393" t="s">
        <v>83</v>
      </c>
      <c r="R6" s="245" t="s">
        <v>136</v>
      </c>
      <c r="S6" s="245" t="s">
        <v>33</v>
      </c>
      <c r="T6" s="245" t="s">
        <v>79</v>
      </c>
      <c r="U6" s="352"/>
      <c r="V6" s="393" t="s">
        <v>138</v>
      </c>
      <c r="W6" s="393" t="s">
        <v>139</v>
      </c>
      <c r="X6" s="393" t="s">
        <v>140</v>
      </c>
      <c r="Y6" s="419"/>
    </row>
    <row r="7" spans="2:25" s="4" customFormat="1" ht="22.5">
      <c r="B7" s="5"/>
      <c r="C7" s="5"/>
      <c r="D7" s="5"/>
      <c r="E7" s="5"/>
      <c r="F7" s="5"/>
      <c r="G7" s="4" t="s">
        <v>130</v>
      </c>
      <c r="H7" s="5"/>
      <c r="I7" s="4" t="s">
        <v>124</v>
      </c>
      <c r="K7" s="4" t="s">
        <v>148</v>
      </c>
      <c r="M7" s="181" t="s">
        <v>144</v>
      </c>
      <c r="O7" s="4" t="s">
        <v>125</v>
      </c>
      <c r="P7" s="5"/>
      <c r="Q7" s="394" t="s">
        <v>127</v>
      </c>
      <c r="R7" s="5" t="s">
        <v>128</v>
      </c>
      <c r="S7" s="406" t="s">
        <v>190</v>
      </c>
      <c r="T7" s="405" t="s">
        <v>188</v>
      </c>
      <c r="U7" s="5"/>
      <c r="V7" s="399" t="s">
        <v>123</v>
      </c>
      <c r="W7" s="400" t="s">
        <v>126</v>
      </c>
      <c r="X7" s="401" t="s">
        <v>132</v>
      </c>
      <c r="Y7" s="401" t="s">
        <v>133</v>
      </c>
    </row>
    <row r="8" spans="17:25" ht="6" customHeight="1">
      <c r="Q8" s="395"/>
      <c r="V8" s="395"/>
      <c r="W8" s="395"/>
      <c r="X8" s="395"/>
      <c r="Y8" s="395"/>
    </row>
    <row r="9" spans="2:25" s="72" customFormat="1" ht="12.75" customHeight="1">
      <c r="B9" s="189" t="s">
        <v>0</v>
      </c>
      <c r="C9" s="189">
        <v>48741489</v>
      </c>
      <c r="D9" s="189"/>
      <c r="E9" s="71">
        <v>39960033</v>
      </c>
      <c r="F9" s="72">
        <v>3319971</v>
      </c>
      <c r="G9" s="72">
        <f aca="true" t="shared" si="0" ref="G9:G31">C9+E9+F9</f>
        <v>92021493</v>
      </c>
      <c r="H9" s="189"/>
      <c r="I9" s="72">
        <f>'(B) Base Bud Adj'!T8</f>
        <v>-2364980</v>
      </c>
      <c r="K9" s="72">
        <f>'(E) Tuit Fee Disc-GF Adjust'!N8</f>
        <v>903300</v>
      </c>
      <c r="M9" s="72">
        <f>'(C) 12-13 Expenditure Adjust.'!G8</f>
        <v>-4265250</v>
      </c>
      <c r="O9" s="72">
        <f>'(D) Tuition Fee Revenue'!M8</f>
        <v>3570000</v>
      </c>
      <c r="P9" s="189"/>
      <c r="Q9" s="396">
        <f aca="true" t="shared" si="1" ref="Q9:Q31">C9+K9+I9+M9</f>
        <v>43014559</v>
      </c>
      <c r="R9" s="72">
        <f aca="true" t="shared" si="2" ref="R9:R31">E9+O9</f>
        <v>43530033</v>
      </c>
      <c r="S9" s="72">
        <f aca="true" t="shared" si="3" ref="S9:S31">F9</f>
        <v>3319971</v>
      </c>
      <c r="T9" s="72">
        <f aca="true" t="shared" si="4" ref="T9:T31">Q9+R9+S9</f>
        <v>89864563</v>
      </c>
      <c r="V9" s="402">
        <f>E9+'(E) Tuit Fee Disc-GF Adjust'!H8</f>
        <v>24142733</v>
      </c>
      <c r="W9" s="396">
        <f>'(D) Tuition Fee Revenue'!O8</f>
        <v>2267000</v>
      </c>
      <c r="X9" s="396">
        <f aca="true" t="shared" si="5" ref="X9:X31">V9+W9</f>
        <v>26409733</v>
      </c>
      <c r="Y9" s="396">
        <f>Q9+X9+S9</f>
        <v>72744263</v>
      </c>
    </row>
    <row r="10" spans="2:25" ht="12.75" customHeight="1">
      <c r="B10" s="193" t="s">
        <v>1</v>
      </c>
      <c r="C10" s="193">
        <v>44118320</v>
      </c>
      <c r="D10" s="193"/>
      <c r="E10" s="73">
        <v>19499000</v>
      </c>
      <c r="F10" s="74">
        <v>1449190</v>
      </c>
      <c r="G10" s="74">
        <f t="shared" si="0"/>
        <v>65066510</v>
      </c>
      <c r="I10" s="74">
        <f>'(B) Base Bud Adj'!T9</f>
        <v>-217510</v>
      </c>
      <c r="K10" s="74">
        <f>'(E) Tuit Fee Disc-GF Adjust'!N9</f>
        <v>-115500</v>
      </c>
      <c r="M10" s="74">
        <f>'(C) 12-13 Expenditure Adjust.'!G9</f>
        <v>-1000000</v>
      </c>
      <c r="O10" s="74">
        <f>'(D) Tuition Fee Revenue'!M9</f>
        <v>1863000</v>
      </c>
      <c r="Q10" s="395">
        <f t="shared" si="1"/>
        <v>42785310</v>
      </c>
      <c r="R10" s="74">
        <f t="shared" si="2"/>
        <v>21362000</v>
      </c>
      <c r="S10" s="74">
        <f t="shared" si="3"/>
        <v>1449190</v>
      </c>
      <c r="T10" s="74">
        <f t="shared" si="4"/>
        <v>65596500</v>
      </c>
      <c r="V10" s="403">
        <f>E10+'(E) Tuit Fee Disc-GF Adjust'!H9</f>
        <v>13283300</v>
      </c>
      <c r="W10" s="395">
        <f>'(D) Tuition Fee Revenue'!O9</f>
        <v>1258000</v>
      </c>
      <c r="X10" s="395">
        <f t="shared" si="5"/>
        <v>14541300</v>
      </c>
      <c r="Y10" s="395">
        <f aca="true" t="shared" si="6" ref="Y10:Y31">Q10+X10+S10</f>
        <v>58775800</v>
      </c>
    </row>
    <row r="11" spans="2:25" ht="12.75" customHeight="1">
      <c r="B11" s="193" t="s">
        <v>2</v>
      </c>
      <c r="C11" s="193">
        <v>81330222</v>
      </c>
      <c r="D11" s="193"/>
      <c r="E11" s="73">
        <v>81524000</v>
      </c>
      <c r="F11" s="74">
        <v>10366000</v>
      </c>
      <c r="G11" s="74">
        <f t="shared" si="0"/>
        <v>173220222</v>
      </c>
      <c r="I11" s="74">
        <f>'(B) Base Bud Adj'!T10</f>
        <v>-4661590</v>
      </c>
      <c r="K11" s="74">
        <f>'(E) Tuit Fee Disc-GF Adjust'!N10</f>
        <v>-310200</v>
      </c>
      <c r="M11" s="74">
        <f>'(C) 12-13 Expenditure Adjust.'!G10</f>
        <v>-10128750</v>
      </c>
      <c r="O11" s="74">
        <f>'(D) Tuition Fee Revenue'!M10</f>
        <v>7432000</v>
      </c>
      <c r="Q11" s="395">
        <f t="shared" si="1"/>
        <v>66229682</v>
      </c>
      <c r="R11" s="74">
        <f t="shared" si="2"/>
        <v>88956000</v>
      </c>
      <c r="S11" s="74">
        <f t="shared" si="3"/>
        <v>10366000</v>
      </c>
      <c r="T11" s="74">
        <f t="shared" si="4"/>
        <v>165551682</v>
      </c>
      <c r="V11" s="403">
        <f>E11+'(E) Tuit Fee Disc-GF Adjust'!H10</f>
        <v>58845200</v>
      </c>
      <c r="W11" s="395">
        <f>'(D) Tuition Fee Revenue'!O10</f>
        <v>4904000</v>
      </c>
      <c r="X11" s="395">
        <f t="shared" si="5"/>
        <v>63749200</v>
      </c>
      <c r="Y11" s="395">
        <f t="shared" si="6"/>
        <v>140344882</v>
      </c>
    </row>
    <row r="12" spans="2:25" ht="12.75" customHeight="1">
      <c r="B12" s="193" t="s">
        <v>3</v>
      </c>
      <c r="C12" s="193">
        <v>59766882</v>
      </c>
      <c r="D12" s="193"/>
      <c r="E12" s="73">
        <v>60718122</v>
      </c>
      <c r="F12" s="74">
        <v>3559620</v>
      </c>
      <c r="G12" s="74">
        <f t="shared" si="0"/>
        <v>124044624</v>
      </c>
      <c r="I12" s="74">
        <f>'(B) Base Bud Adj'!T11</f>
        <v>-3047030</v>
      </c>
      <c r="K12" s="74">
        <f>'(E) Tuit Fee Disc-GF Adjust'!N11</f>
        <v>113200</v>
      </c>
      <c r="M12" s="74">
        <f>'(C) 12-13 Expenditure Adjust.'!G11</f>
        <v>-5792000</v>
      </c>
      <c r="O12" s="74">
        <f>'(D) Tuition Fee Revenue'!M11</f>
        <v>4941000</v>
      </c>
      <c r="Q12" s="395">
        <f t="shared" si="1"/>
        <v>51041052</v>
      </c>
      <c r="R12" s="74">
        <f t="shared" si="2"/>
        <v>65659122</v>
      </c>
      <c r="S12" s="74">
        <f t="shared" si="3"/>
        <v>3559620</v>
      </c>
      <c r="T12" s="74">
        <f t="shared" si="4"/>
        <v>120259794</v>
      </c>
      <c r="V12" s="403">
        <f>E12+'(E) Tuit Fee Disc-GF Adjust'!H11</f>
        <v>31811122</v>
      </c>
      <c r="W12" s="395">
        <f>'(D) Tuition Fee Revenue'!O11</f>
        <v>2987000</v>
      </c>
      <c r="X12" s="395">
        <f t="shared" si="5"/>
        <v>34798122</v>
      </c>
      <c r="Y12" s="395">
        <f t="shared" si="6"/>
        <v>89398794</v>
      </c>
    </row>
    <row r="13" spans="2:25" ht="12.75" customHeight="1">
      <c r="B13" s="193" t="s">
        <v>28</v>
      </c>
      <c r="C13" s="193">
        <v>64021941</v>
      </c>
      <c r="D13" s="193"/>
      <c r="E13" s="73">
        <v>76533000</v>
      </c>
      <c r="F13" s="74">
        <v>16723000</v>
      </c>
      <c r="G13" s="74">
        <f t="shared" si="0"/>
        <v>157277941</v>
      </c>
      <c r="I13" s="74">
        <f>'(B) Base Bud Adj'!T12</f>
        <v>-4287980</v>
      </c>
      <c r="K13" s="74">
        <f>'(E) Tuit Fee Disc-GF Adjust'!N12</f>
        <v>-914400</v>
      </c>
      <c r="M13" s="74">
        <f>'(C) 12-13 Expenditure Adjust.'!G12</f>
        <v>-8905000</v>
      </c>
      <c r="O13" s="74">
        <f>'(D) Tuition Fee Revenue'!M12</f>
        <v>5615000</v>
      </c>
      <c r="Q13" s="395">
        <f t="shared" si="1"/>
        <v>49914561</v>
      </c>
      <c r="R13" s="74">
        <f t="shared" si="2"/>
        <v>82148000</v>
      </c>
      <c r="S13" s="74">
        <f t="shared" si="3"/>
        <v>16723000</v>
      </c>
      <c r="T13" s="74">
        <f t="shared" si="4"/>
        <v>148785561</v>
      </c>
      <c r="V13" s="403">
        <f>E13+'(E) Tuit Fee Disc-GF Adjust'!H12</f>
        <v>54607200</v>
      </c>
      <c r="W13" s="395">
        <f>'(D) Tuition Fee Revenue'!O12</f>
        <v>3275000</v>
      </c>
      <c r="X13" s="395">
        <f t="shared" si="5"/>
        <v>57882200</v>
      </c>
      <c r="Y13" s="395">
        <f t="shared" si="6"/>
        <v>124519761</v>
      </c>
    </row>
    <row r="14" spans="2:25" ht="12.75" customHeight="1">
      <c r="B14" s="193" t="s">
        <v>4</v>
      </c>
      <c r="C14" s="193">
        <v>105923822</v>
      </c>
      <c r="D14" s="193"/>
      <c r="E14" s="73">
        <v>106228316</v>
      </c>
      <c r="F14" s="74">
        <v>12075068</v>
      </c>
      <c r="G14" s="74">
        <f t="shared" si="0"/>
        <v>224227206</v>
      </c>
      <c r="I14" s="74">
        <f>'(B) Base Bud Adj'!T13</f>
        <v>-5816390</v>
      </c>
      <c r="K14" s="74">
        <f>'(E) Tuit Fee Disc-GF Adjust'!N13</f>
        <v>938000</v>
      </c>
      <c r="M14" s="74">
        <f>'(C) 12-13 Expenditure Adjust.'!G13</f>
        <v>-13014500</v>
      </c>
      <c r="O14" s="74">
        <f>'(D) Tuition Fee Revenue'!M13</f>
        <v>9173000</v>
      </c>
      <c r="Q14" s="395">
        <f t="shared" si="1"/>
        <v>88030932</v>
      </c>
      <c r="R14" s="74">
        <f t="shared" si="2"/>
        <v>115401316</v>
      </c>
      <c r="S14" s="74">
        <f t="shared" si="3"/>
        <v>12075068</v>
      </c>
      <c r="T14" s="74">
        <f t="shared" si="4"/>
        <v>215507316</v>
      </c>
      <c r="V14" s="403">
        <f>E14+'(E) Tuit Fee Disc-GF Adjust'!H13</f>
        <v>71292616</v>
      </c>
      <c r="W14" s="395">
        <f>'(D) Tuition Fee Revenue'!O13</f>
        <v>5904000</v>
      </c>
      <c r="X14" s="395">
        <f t="shared" si="5"/>
        <v>77196616</v>
      </c>
      <c r="Y14" s="395">
        <f t="shared" si="6"/>
        <v>177302616</v>
      </c>
    </row>
    <row r="15" spans="2:25" ht="12.75" customHeight="1">
      <c r="B15" s="193" t="s">
        <v>5</v>
      </c>
      <c r="C15" s="193">
        <v>116085961</v>
      </c>
      <c r="D15" s="193"/>
      <c r="E15" s="73">
        <v>182144148</v>
      </c>
      <c r="F15" s="74">
        <v>22937849</v>
      </c>
      <c r="G15" s="74">
        <f t="shared" si="0"/>
        <v>321167958</v>
      </c>
      <c r="I15" s="74">
        <f>'(B) Base Bud Adj'!T14</f>
        <v>-8478400</v>
      </c>
      <c r="K15" s="74">
        <f>'(E) Tuit Fee Disc-GF Adjust'!N14</f>
        <v>3000</v>
      </c>
      <c r="M15" s="74">
        <f>'(C) 12-13 Expenditure Adjust.'!G14</f>
        <v>-19856250</v>
      </c>
      <c r="O15" s="74">
        <f>'(D) Tuition Fee Revenue'!M14</f>
        <v>14800000</v>
      </c>
      <c r="Q15" s="395">
        <f t="shared" si="1"/>
        <v>87754311</v>
      </c>
      <c r="R15" s="74">
        <f t="shared" si="2"/>
        <v>196944148</v>
      </c>
      <c r="S15" s="74">
        <f t="shared" si="3"/>
        <v>22937849</v>
      </c>
      <c r="T15" s="74">
        <f t="shared" si="4"/>
        <v>307636308</v>
      </c>
      <c r="V15" s="403">
        <f>E15+'(E) Tuit Fee Disc-GF Adjust'!H14</f>
        <v>137143248</v>
      </c>
      <c r="W15" s="395">
        <f>'(D) Tuition Fee Revenue'!O14</f>
        <v>9306000</v>
      </c>
      <c r="X15" s="395">
        <f t="shared" si="5"/>
        <v>146449248</v>
      </c>
      <c r="Y15" s="395">
        <f t="shared" si="6"/>
        <v>257141408</v>
      </c>
    </row>
    <row r="16" spans="2:25" ht="12.75" customHeight="1">
      <c r="B16" s="193" t="s">
        <v>6</v>
      </c>
      <c r="C16" s="193">
        <v>59408350</v>
      </c>
      <c r="D16" s="193"/>
      <c r="E16" s="73">
        <v>41674528</v>
      </c>
      <c r="F16" s="74">
        <v>8212463</v>
      </c>
      <c r="G16" s="74">
        <f t="shared" si="0"/>
        <v>109295341</v>
      </c>
      <c r="I16" s="74">
        <f>'(B) Base Bud Adj'!T15</f>
        <v>-2851740</v>
      </c>
      <c r="K16" s="74">
        <f>'(E) Tuit Fee Disc-GF Adjust'!N15</f>
        <v>-711100</v>
      </c>
      <c r="M16" s="74">
        <f>'(C) 12-13 Expenditure Adjust.'!G15</f>
        <v>-5779000</v>
      </c>
      <c r="O16" s="74">
        <f>'(D) Tuition Fee Revenue'!M15</f>
        <v>3899000</v>
      </c>
      <c r="Q16" s="395">
        <f t="shared" si="1"/>
        <v>50066510</v>
      </c>
      <c r="R16" s="74">
        <f t="shared" si="2"/>
        <v>45573528</v>
      </c>
      <c r="S16" s="74">
        <f t="shared" si="3"/>
        <v>8212463</v>
      </c>
      <c r="T16" s="74">
        <f t="shared" si="4"/>
        <v>103852501</v>
      </c>
      <c r="V16" s="403">
        <f>E16+'(E) Tuit Fee Disc-GF Adjust'!H15</f>
        <v>26642628</v>
      </c>
      <c r="W16" s="395">
        <f>'(D) Tuition Fee Revenue'!O15</f>
        <v>2672000</v>
      </c>
      <c r="X16" s="395">
        <f t="shared" si="5"/>
        <v>29314628</v>
      </c>
      <c r="Y16" s="395">
        <f t="shared" si="6"/>
        <v>87593601</v>
      </c>
    </row>
    <row r="17" spans="2:25" ht="12.75" customHeight="1">
      <c r="B17" s="193" t="s">
        <v>7</v>
      </c>
      <c r="C17" s="193">
        <v>131395036.16</v>
      </c>
      <c r="D17" s="193"/>
      <c r="E17" s="73">
        <v>177063000</v>
      </c>
      <c r="F17" s="74">
        <v>29391500</v>
      </c>
      <c r="G17" s="74">
        <f t="shared" si="0"/>
        <v>337849536.15999997</v>
      </c>
      <c r="I17" s="74">
        <f>'(B) Base Bud Adj'!T16</f>
        <v>-8852900</v>
      </c>
      <c r="K17" s="74">
        <f>'(E) Tuit Fee Disc-GF Adjust'!N16</f>
        <v>-875900</v>
      </c>
      <c r="M17" s="74">
        <f>'(C) 12-13 Expenditure Adjust.'!G16</f>
        <v>-20807250</v>
      </c>
      <c r="O17" s="74">
        <f>'(D) Tuition Fee Revenue'!M16</f>
        <v>15345000</v>
      </c>
      <c r="Q17" s="395">
        <f t="shared" si="1"/>
        <v>100858986.16</v>
      </c>
      <c r="R17" s="74">
        <f t="shared" si="2"/>
        <v>192408000</v>
      </c>
      <c r="S17" s="74">
        <f t="shared" si="3"/>
        <v>29391500</v>
      </c>
      <c r="T17" s="74">
        <f t="shared" si="4"/>
        <v>322658486.15999997</v>
      </c>
      <c r="V17" s="403">
        <f>E17+'(E) Tuit Fee Disc-GF Adjust'!H16</f>
        <v>126557200</v>
      </c>
      <c r="W17" s="395">
        <f>'(D) Tuition Fee Revenue'!O16</f>
        <v>9935000</v>
      </c>
      <c r="X17" s="395">
        <f t="shared" si="5"/>
        <v>136492200</v>
      </c>
      <c r="Y17" s="395">
        <f t="shared" si="6"/>
        <v>266742686.16</v>
      </c>
    </row>
    <row r="18" spans="2:25" ht="12.75" customHeight="1">
      <c r="B18" s="193" t="s">
        <v>8</v>
      </c>
      <c r="C18" s="193">
        <v>96874129</v>
      </c>
      <c r="D18" s="193"/>
      <c r="E18" s="73">
        <v>105940658</v>
      </c>
      <c r="F18" s="74">
        <v>14078102</v>
      </c>
      <c r="G18" s="74">
        <f t="shared" si="0"/>
        <v>216892889</v>
      </c>
      <c r="I18" s="74">
        <f>'(B) Base Bud Adj'!T17</f>
        <v>-5454490</v>
      </c>
      <c r="K18" s="74">
        <f>'(E) Tuit Fee Disc-GF Adjust'!N17</f>
        <v>219100</v>
      </c>
      <c r="M18" s="74">
        <f>'(C) 12-13 Expenditure Adjust.'!G17</f>
        <v>-11866500</v>
      </c>
      <c r="O18" s="74">
        <f>'(D) Tuition Fee Revenue'!M17</f>
        <v>8095000</v>
      </c>
      <c r="Q18" s="395">
        <f t="shared" si="1"/>
        <v>79772239</v>
      </c>
      <c r="R18" s="74">
        <f t="shared" si="2"/>
        <v>114035658</v>
      </c>
      <c r="S18" s="74">
        <f t="shared" si="3"/>
        <v>14078102</v>
      </c>
      <c r="T18" s="74">
        <f t="shared" si="4"/>
        <v>207885999</v>
      </c>
      <c r="V18" s="403">
        <f>E18+'(E) Tuit Fee Disc-GF Adjust'!H17</f>
        <v>63607258</v>
      </c>
      <c r="W18" s="395">
        <f>'(D) Tuition Fee Revenue'!O17</f>
        <v>4699000</v>
      </c>
      <c r="X18" s="395">
        <f t="shared" si="5"/>
        <v>68306258</v>
      </c>
      <c r="Y18" s="395">
        <f t="shared" si="6"/>
        <v>162156599</v>
      </c>
    </row>
    <row r="19" spans="2:25" ht="12.75" customHeight="1">
      <c r="B19" s="193" t="s">
        <v>9</v>
      </c>
      <c r="C19" s="193">
        <v>21107751</v>
      </c>
      <c r="D19" s="193"/>
      <c r="E19" s="73">
        <v>4793159</v>
      </c>
      <c r="F19" s="74">
        <v>1710823</v>
      </c>
      <c r="G19" s="74">
        <f t="shared" si="0"/>
        <v>27611733</v>
      </c>
      <c r="I19" s="74">
        <f>'(B) Base Bud Adj'!T18</f>
        <v>775125</v>
      </c>
      <c r="K19" s="74">
        <f>'(E) Tuit Fee Disc-GF Adjust'!N18</f>
        <v>44400</v>
      </c>
      <c r="M19" s="74">
        <f>'(C) 12-13 Expenditure Adjust.'!G18</f>
        <v>-750000</v>
      </c>
      <c r="O19" s="74">
        <f>'(D) Tuition Fee Revenue'!M18</f>
        <v>421000</v>
      </c>
      <c r="Q19" s="395">
        <f t="shared" si="1"/>
        <v>21177276</v>
      </c>
      <c r="R19" s="74">
        <f t="shared" si="2"/>
        <v>5214159</v>
      </c>
      <c r="S19" s="74">
        <f t="shared" si="3"/>
        <v>1710823</v>
      </c>
      <c r="T19" s="74">
        <f t="shared" si="4"/>
        <v>28102258</v>
      </c>
      <c r="V19" s="403">
        <f>E19+'(E) Tuit Fee Disc-GF Adjust'!H18</f>
        <v>3154259</v>
      </c>
      <c r="W19" s="395">
        <f>'(D) Tuition Fee Revenue'!O18</f>
        <v>289000</v>
      </c>
      <c r="X19" s="395">
        <f t="shared" si="5"/>
        <v>3443259</v>
      </c>
      <c r="Y19" s="395">
        <f t="shared" si="6"/>
        <v>26331358</v>
      </c>
    </row>
    <row r="20" spans="2:25" ht="12.75" customHeight="1">
      <c r="B20" s="193" t="s">
        <v>10</v>
      </c>
      <c r="C20" s="193">
        <v>51339423</v>
      </c>
      <c r="D20" s="193"/>
      <c r="E20" s="73">
        <v>24468271</v>
      </c>
      <c r="F20" s="74">
        <v>2062195</v>
      </c>
      <c r="G20" s="74">
        <f t="shared" si="0"/>
        <v>77869889</v>
      </c>
      <c r="I20" s="74">
        <f>'(B) Base Bud Adj'!T19</f>
        <v>-2093140</v>
      </c>
      <c r="K20" s="74">
        <f>'(E) Tuit Fee Disc-GF Adjust'!N19</f>
        <v>-67100</v>
      </c>
      <c r="M20" s="74">
        <f>'(C) 12-13 Expenditure Adjust.'!G19</f>
        <v>-3681250</v>
      </c>
      <c r="O20" s="74">
        <f>'(D) Tuition Fee Revenue'!M19</f>
        <v>1514000</v>
      </c>
      <c r="Q20" s="395">
        <f t="shared" si="1"/>
        <v>45497933</v>
      </c>
      <c r="R20" s="74">
        <f t="shared" si="2"/>
        <v>25982271</v>
      </c>
      <c r="S20" s="74">
        <f t="shared" si="3"/>
        <v>2062195</v>
      </c>
      <c r="T20" s="74">
        <f t="shared" si="4"/>
        <v>73542399</v>
      </c>
      <c r="V20" s="403">
        <f>E20+'(E) Tuit Fee Disc-GF Adjust'!H19</f>
        <v>15492571</v>
      </c>
      <c r="W20" s="395">
        <f>'(D) Tuition Fee Revenue'!O19</f>
        <v>777000</v>
      </c>
      <c r="X20" s="395">
        <f t="shared" si="5"/>
        <v>16269571</v>
      </c>
      <c r="Y20" s="395">
        <f t="shared" si="6"/>
        <v>63829699</v>
      </c>
    </row>
    <row r="21" spans="2:25" ht="12.75" customHeight="1">
      <c r="B21" s="193" t="s">
        <v>11</v>
      </c>
      <c r="C21" s="193">
        <v>131345346</v>
      </c>
      <c r="D21" s="193"/>
      <c r="E21" s="73">
        <v>179465000</v>
      </c>
      <c r="F21" s="74">
        <v>30475784</v>
      </c>
      <c r="G21" s="74">
        <f t="shared" si="0"/>
        <v>341286130</v>
      </c>
      <c r="I21" s="74">
        <f>'(B) Base Bud Adj'!T20</f>
        <v>-8965450</v>
      </c>
      <c r="K21" s="74">
        <f>'(E) Tuit Fee Disc-GF Adjust'!N20</f>
        <v>794000</v>
      </c>
      <c r="M21" s="74">
        <f>'(C) 12-13 Expenditure Adjust.'!G20</f>
        <v>-20762500</v>
      </c>
      <c r="O21" s="74">
        <f>'(D) Tuition Fee Revenue'!M20</f>
        <v>15446000</v>
      </c>
      <c r="Q21" s="395">
        <f t="shared" si="1"/>
        <v>102411396</v>
      </c>
      <c r="R21" s="74">
        <f t="shared" si="2"/>
        <v>194911000</v>
      </c>
      <c r="S21" s="74">
        <f t="shared" si="3"/>
        <v>30475784</v>
      </c>
      <c r="T21" s="74">
        <f t="shared" si="4"/>
        <v>327798180</v>
      </c>
      <c r="V21" s="403">
        <f>E21+'(E) Tuit Fee Disc-GF Adjust'!H20</f>
        <v>126562000</v>
      </c>
      <c r="W21" s="395">
        <f>'(D) Tuition Fee Revenue'!O20</f>
        <v>10096000</v>
      </c>
      <c r="X21" s="395">
        <f t="shared" si="5"/>
        <v>136658000</v>
      </c>
      <c r="Y21" s="395">
        <f t="shared" si="6"/>
        <v>269545180</v>
      </c>
    </row>
    <row r="22" spans="2:25" ht="12.75" customHeight="1">
      <c r="B22" s="193" t="s">
        <v>12</v>
      </c>
      <c r="C22" s="193">
        <v>96644062</v>
      </c>
      <c r="D22" s="193"/>
      <c r="E22" s="73">
        <v>101152000</v>
      </c>
      <c r="F22" s="74">
        <v>10787000</v>
      </c>
      <c r="G22" s="74">
        <f t="shared" si="0"/>
        <v>208583062</v>
      </c>
      <c r="I22" s="74">
        <f>'(B) Base Bud Adj'!T21</f>
        <v>-5660020</v>
      </c>
      <c r="K22" s="74">
        <f>'(E) Tuit Fee Disc-GF Adjust'!N21</f>
        <v>-889800</v>
      </c>
      <c r="M22" s="74">
        <f>'(C) 12-13 Expenditure Adjust.'!G21</f>
        <v>-12003000</v>
      </c>
      <c r="O22" s="74">
        <f>'(D) Tuition Fee Revenue'!M21</f>
        <v>6035000</v>
      </c>
      <c r="Q22" s="395">
        <f t="shared" si="1"/>
        <v>78091242</v>
      </c>
      <c r="R22" s="74">
        <f t="shared" si="2"/>
        <v>107187000</v>
      </c>
      <c r="S22" s="74">
        <f t="shared" si="3"/>
        <v>10787000</v>
      </c>
      <c r="T22" s="74">
        <f t="shared" si="4"/>
        <v>196065242</v>
      </c>
      <c r="V22" s="403">
        <f>E22+'(E) Tuit Fee Disc-GF Adjust'!H21</f>
        <v>69953200</v>
      </c>
      <c r="W22" s="395">
        <f>'(D) Tuition Fee Revenue'!O21</f>
        <v>2735000</v>
      </c>
      <c r="X22" s="395">
        <f t="shared" si="5"/>
        <v>72688200</v>
      </c>
      <c r="Y22" s="395">
        <f t="shared" si="6"/>
        <v>161566442</v>
      </c>
    </row>
    <row r="23" spans="2:25" ht="12.75" customHeight="1">
      <c r="B23" s="193" t="s">
        <v>13</v>
      </c>
      <c r="C23" s="193">
        <v>107426677</v>
      </c>
      <c r="D23" s="193"/>
      <c r="E23" s="73">
        <v>136490500</v>
      </c>
      <c r="F23" s="74">
        <v>15655349</v>
      </c>
      <c r="G23" s="74">
        <f t="shared" si="0"/>
        <v>259572526</v>
      </c>
      <c r="I23" s="74">
        <f>'(B) Base Bud Adj'!T22</f>
        <v>-6724240</v>
      </c>
      <c r="K23" s="74">
        <f>'(E) Tuit Fee Disc-GF Adjust'!N22</f>
        <v>1233000</v>
      </c>
      <c r="M23" s="74">
        <f>'(C) 12-13 Expenditure Adjust.'!G22</f>
        <v>-15499000</v>
      </c>
      <c r="O23" s="74">
        <f>'(D) Tuition Fee Revenue'!M22</f>
        <v>14474000</v>
      </c>
      <c r="Q23" s="395">
        <f t="shared" si="1"/>
        <v>86436437</v>
      </c>
      <c r="R23" s="74">
        <f t="shared" si="2"/>
        <v>150964500</v>
      </c>
      <c r="S23" s="74">
        <f t="shared" si="3"/>
        <v>15655349</v>
      </c>
      <c r="T23" s="74">
        <f t="shared" si="4"/>
        <v>253056286</v>
      </c>
      <c r="V23" s="403">
        <f>E23+'(E) Tuit Fee Disc-GF Adjust'!H22</f>
        <v>95202100</v>
      </c>
      <c r="W23" s="395">
        <f>'(D) Tuition Fee Revenue'!O22</f>
        <v>10270000</v>
      </c>
      <c r="X23" s="395">
        <f t="shared" si="5"/>
        <v>105472100</v>
      </c>
      <c r="Y23" s="395">
        <f t="shared" si="6"/>
        <v>207563886</v>
      </c>
    </row>
    <row r="24" spans="2:25" ht="12.75" customHeight="1">
      <c r="B24" s="193" t="s">
        <v>14</v>
      </c>
      <c r="C24" s="193">
        <v>75776878</v>
      </c>
      <c r="D24" s="193"/>
      <c r="E24" s="73">
        <v>88825000</v>
      </c>
      <c r="F24" s="74">
        <v>17593192</v>
      </c>
      <c r="G24" s="74">
        <f t="shared" si="0"/>
        <v>182195070</v>
      </c>
      <c r="I24" s="74">
        <f>'(B) Base Bud Adj'!T23</f>
        <v>-4363070</v>
      </c>
      <c r="K24" s="74">
        <f>'(E) Tuit Fee Disc-GF Adjust'!N23</f>
        <v>-720900</v>
      </c>
      <c r="M24" s="74">
        <f>'(C) 12-13 Expenditure Adjust.'!G23</f>
        <v>-9917250</v>
      </c>
      <c r="O24" s="74">
        <f>'(D) Tuition Fee Revenue'!M23</f>
        <v>6671000</v>
      </c>
      <c r="Q24" s="395">
        <f t="shared" si="1"/>
        <v>60775658</v>
      </c>
      <c r="R24" s="74">
        <f t="shared" si="2"/>
        <v>95496000</v>
      </c>
      <c r="S24" s="74">
        <f t="shared" si="3"/>
        <v>17593192</v>
      </c>
      <c r="T24" s="74">
        <f t="shared" si="4"/>
        <v>173864850</v>
      </c>
      <c r="V24" s="403">
        <f>E24+'(E) Tuit Fee Disc-GF Adjust'!H23</f>
        <v>54681700</v>
      </c>
      <c r="W24" s="395">
        <f>'(D) Tuition Fee Revenue'!O23</f>
        <v>3959000</v>
      </c>
      <c r="X24" s="395">
        <f t="shared" si="5"/>
        <v>58640700</v>
      </c>
      <c r="Y24" s="395">
        <f t="shared" si="6"/>
        <v>137009550</v>
      </c>
    </row>
    <row r="25" spans="2:25" ht="12.75" customHeight="1">
      <c r="B25" s="193" t="s">
        <v>15</v>
      </c>
      <c r="C25" s="193">
        <v>133941246</v>
      </c>
      <c r="D25" s="193"/>
      <c r="E25" s="73">
        <v>159073000</v>
      </c>
      <c r="F25" s="74">
        <v>34698627</v>
      </c>
      <c r="G25" s="74">
        <f t="shared" si="0"/>
        <v>327712873</v>
      </c>
      <c r="I25" s="74">
        <f>'(B) Base Bud Adj'!T24</f>
        <v>-8978250</v>
      </c>
      <c r="K25" s="74">
        <f>'(E) Tuit Fee Disc-GF Adjust'!N24</f>
        <v>-633800</v>
      </c>
      <c r="M25" s="74">
        <f>'(C) 12-13 Expenditure Adjust.'!G24</f>
        <v>-20696750</v>
      </c>
      <c r="O25" s="74">
        <f>'(D) Tuition Fee Revenue'!M24</f>
        <v>14340000</v>
      </c>
      <c r="Q25" s="395">
        <f t="shared" si="1"/>
        <v>103632446</v>
      </c>
      <c r="R25" s="74">
        <f t="shared" si="2"/>
        <v>173413000</v>
      </c>
      <c r="S25" s="74">
        <f t="shared" si="3"/>
        <v>34698627</v>
      </c>
      <c r="T25" s="74">
        <f t="shared" si="4"/>
        <v>311744073</v>
      </c>
      <c r="V25" s="403">
        <f>E25+'(E) Tuit Fee Disc-GF Adjust'!H24</f>
        <v>118731200</v>
      </c>
      <c r="W25" s="395">
        <f>'(D) Tuition Fee Revenue'!O24</f>
        <v>8843000</v>
      </c>
      <c r="X25" s="395">
        <f t="shared" si="5"/>
        <v>127574200</v>
      </c>
      <c r="Y25" s="395">
        <f t="shared" si="6"/>
        <v>265905273</v>
      </c>
    </row>
    <row r="26" spans="2:25" ht="12.75" customHeight="1">
      <c r="B26" s="193" t="s">
        <v>16</v>
      </c>
      <c r="C26" s="193">
        <v>111787439</v>
      </c>
      <c r="D26" s="193"/>
      <c r="E26" s="73">
        <v>149100000</v>
      </c>
      <c r="F26" s="74">
        <v>30303377</v>
      </c>
      <c r="G26" s="74">
        <f t="shared" si="0"/>
        <v>291190816</v>
      </c>
      <c r="I26" s="74">
        <f>'(B) Base Bud Adj'!T25</f>
        <v>-7756480</v>
      </c>
      <c r="K26" s="74">
        <f>'(E) Tuit Fee Disc-GF Adjust'!N25</f>
        <v>568400</v>
      </c>
      <c r="M26" s="74">
        <f>'(C) 12-13 Expenditure Adjust.'!G25</f>
        <v>-17389250</v>
      </c>
      <c r="O26" s="74">
        <f>'(D) Tuition Fee Revenue'!M25</f>
        <v>10496000</v>
      </c>
      <c r="Q26" s="395">
        <f t="shared" si="1"/>
        <v>87210109</v>
      </c>
      <c r="R26" s="74">
        <f t="shared" si="2"/>
        <v>159596000</v>
      </c>
      <c r="S26" s="74">
        <f t="shared" si="3"/>
        <v>30303377</v>
      </c>
      <c r="T26" s="74">
        <f t="shared" si="4"/>
        <v>277109486</v>
      </c>
      <c r="V26" s="403">
        <f>E26+'(E) Tuit Fee Disc-GF Adjust'!H25</f>
        <v>105357700</v>
      </c>
      <c r="W26" s="395">
        <f>'(D) Tuition Fee Revenue'!O25</f>
        <v>5938000</v>
      </c>
      <c r="X26" s="395">
        <f t="shared" si="5"/>
        <v>111295700</v>
      </c>
      <c r="Y26" s="395">
        <f t="shared" si="6"/>
        <v>228809186</v>
      </c>
    </row>
    <row r="27" spans="2:25" ht="12.75" customHeight="1">
      <c r="B27" s="193" t="s">
        <v>17</v>
      </c>
      <c r="C27" s="193">
        <v>101113122</v>
      </c>
      <c r="D27" s="193"/>
      <c r="E27" s="73">
        <v>142479300</v>
      </c>
      <c r="F27" s="74">
        <v>24223800</v>
      </c>
      <c r="G27" s="74">
        <f t="shared" si="0"/>
        <v>267816222</v>
      </c>
      <c r="I27" s="74">
        <f>'(B) Base Bud Adj'!T26</f>
        <v>-7439140</v>
      </c>
      <c r="K27" s="74">
        <f>'(E) Tuit Fee Disc-GF Adjust'!N26</f>
        <v>61800</v>
      </c>
      <c r="M27" s="74">
        <f>'(C) 12-13 Expenditure Adjust.'!G26</f>
        <v>-16269750</v>
      </c>
      <c r="O27" s="74">
        <f>'(D) Tuition Fee Revenue'!M26</f>
        <v>9632000</v>
      </c>
      <c r="Q27" s="395">
        <f t="shared" si="1"/>
        <v>77466032</v>
      </c>
      <c r="R27" s="74">
        <f t="shared" si="2"/>
        <v>152111300</v>
      </c>
      <c r="S27" s="74">
        <f t="shared" si="3"/>
        <v>24223800</v>
      </c>
      <c r="T27" s="74">
        <f t="shared" si="4"/>
        <v>253801132</v>
      </c>
      <c r="V27" s="403">
        <f>E27+'(E) Tuit Fee Disc-GF Adjust'!H26</f>
        <v>107572000</v>
      </c>
      <c r="W27" s="395">
        <f>'(D) Tuition Fee Revenue'!O26</f>
        <v>5164000</v>
      </c>
      <c r="X27" s="395">
        <f t="shared" si="5"/>
        <v>112736000</v>
      </c>
      <c r="Y27" s="395">
        <f t="shared" si="6"/>
        <v>214425832</v>
      </c>
    </row>
    <row r="28" spans="2:25" ht="12.75" customHeight="1">
      <c r="B28" s="193" t="s">
        <v>18</v>
      </c>
      <c r="C28" s="193">
        <v>89543438</v>
      </c>
      <c r="D28" s="193"/>
      <c r="E28" s="73">
        <v>95990000</v>
      </c>
      <c r="F28" s="74">
        <v>32459000</v>
      </c>
      <c r="G28" s="74">
        <f t="shared" si="0"/>
        <v>217992438</v>
      </c>
      <c r="I28" s="74">
        <f>'(B) Base Bud Adj'!T27</f>
        <v>-6018070</v>
      </c>
      <c r="K28" s="74">
        <f>'(E) Tuit Fee Disc-GF Adjust'!N27</f>
        <v>-1874600</v>
      </c>
      <c r="M28" s="74">
        <f>'(C) 12-13 Expenditure Adjust.'!G27</f>
        <v>-14409750</v>
      </c>
      <c r="O28" s="74">
        <f>'(D) Tuition Fee Revenue'!M27</f>
        <v>10223000</v>
      </c>
      <c r="Q28" s="395">
        <f t="shared" si="1"/>
        <v>67241018</v>
      </c>
      <c r="R28" s="74">
        <f t="shared" si="2"/>
        <v>106213000</v>
      </c>
      <c r="S28" s="74">
        <f t="shared" si="3"/>
        <v>32459000</v>
      </c>
      <c r="T28" s="74">
        <f t="shared" si="4"/>
        <v>205913018</v>
      </c>
      <c r="V28" s="403">
        <f>E28+'(E) Tuit Fee Disc-GF Adjust'!H27</f>
        <v>81307500</v>
      </c>
      <c r="W28" s="395">
        <f>'(D) Tuition Fee Revenue'!O27</f>
        <v>7332000</v>
      </c>
      <c r="X28" s="395">
        <f t="shared" si="5"/>
        <v>88639500</v>
      </c>
      <c r="Y28" s="395">
        <f t="shared" si="6"/>
        <v>188339518</v>
      </c>
    </row>
    <row r="29" spans="2:25" ht="12.75" customHeight="1">
      <c r="B29" s="193" t="s">
        <v>19</v>
      </c>
      <c r="C29" s="193">
        <v>51833482</v>
      </c>
      <c r="D29" s="193"/>
      <c r="E29" s="73">
        <v>46981000</v>
      </c>
      <c r="F29" s="74">
        <v>8010000</v>
      </c>
      <c r="G29" s="74">
        <f t="shared" si="0"/>
        <v>106824482</v>
      </c>
      <c r="I29" s="74">
        <f>'(B) Base Bud Adj'!T28</f>
        <v>-2863230</v>
      </c>
      <c r="K29" s="74">
        <f>'(E) Tuit Fee Disc-GF Adjust'!N28</f>
        <v>1156000</v>
      </c>
      <c r="M29" s="74">
        <f>'(C) 12-13 Expenditure Adjust.'!G28</f>
        <v>-5478250</v>
      </c>
      <c r="O29" s="74">
        <f>'(D) Tuition Fee Revenue'!M28</f>
        <v>3876000</v>
      </c>
      <c r="Q29" s="395">
        <f t="shared" si="1"/>
        <v>44648002</v>
      </c>
      <c r="R29" s="74">
        <f t="shared" si="2"/>
        <v>50857000</v>
      </c>
      <c r="S29" s="74">
        <f t="shared" si="3"/>
        <v>8010000</v>
      </c>
      <c r="T29" s="74">
        <f t="shared" si="4"/>
        <v>103515002</v>
      </c>
      <c r="V29" s="403">
        <f>E29+'(E) Tuit Fee Disc-GF Adjust'!H28</f>
        <v>32691100</v>
      </c>
      <c r="W29" s="395">
        <f>'(D) Tuition Fee Revenue'!O28</f>
        <v>2389000</v>
      </c>
      <c r="X29" s="395">
        <f t="shared" si="5"/>
        <v>35080100</v>
      </c>
      <c r="Y29" s="395">
        <f t="shared" si="6"/>
        <v>87738102</v>
      </c>
    </row>
    <row r="30" spans="2:25" ht="12.75" customHeight="1">
      <c r="B30" s="193" t="s">
        <v>20</v>
      </c>
      <c r="C30" s="193">
        <v>46311423</v>
      </c>
      <c r="D30" s="193"/>
      <c r="E30" s="73">
        <v>43181000</v>
      </c>
      <c r="F30" s="74">
        <v>5056000</v>
      </c>
      <c r="G30" s="74">
        <f t="shared" si="0"/>
        <v>94548423</v>
      </c>
      <c r="I30" s="74">
        <f>'(B) Base Bud Adj'!T29</f>
        <v>-2633240</v>
      </c>
      <c r="K30" s="74">
        <f>'(E) Tuit Fee Disc-GF Adjust'!N29</f>
        <v>232400</v>
      </c>
      <c r="M30" s="74">
        <f>'(C) 12-13 Expenditure Adjust.'!G29</f>
        <v>-4924250</v>
      </c>
      <c r="O30" s="74">
        <f>'(D) Tuition Fee Revenue'!M29</f>
        <v>3017000</v>
      </c>
      <c r="Q30" s="395">
        <f t="shared" si="1"/>
        <v>38986333</v>
      </c>
      <c r="R30" s="74">
        <f t="shared" si="2"/>
        <v>46198000</v>
      </c>
      <c r="S30" s="74">
        <f t="shared" si="3"/>
        <v>5056000</v>
      </c>
      <c r="T30" s="74">
        <f t="shared" si="4"/>
        <v>90240333</v>
      </c>
      <c r="V30" s="403">
        <f>E30+'(E) Tuit Fee Disc-GF Adjust'!H29</f>
        <v>33536900</v>
      </c>
      <c r="W30" s="395">
        <f>'(D) Tuition Fee Revenue'!O29</f>
        <v>1694000</v>
      </c>
      <c r="X30" s="395">
        <f t="shared" si="5"/>
        <v>35230900</v>
      </c>
      <c r="Y30" s="395">
        <f t="shared" si="6"/>
        <v>79273233</v>
      </c>
    </row>
    <row r="31" spans="2:25" ht="12.75" customHeight="1">
      <c r="B31" s="193" t="s">
        <v>21</v>
      </c>
      <c r="C31" s="193">
        <v>46552297</v>
      </c>
      <c r="D31" s="193"/>
      <c r="E31" s="73">
        <v>42312227</v>
      </c>
      <c r="F31" s="74">
        <v>5291790</v>
      </c>
      <c r="G31" s="74">
        <f t="shared" si="0"/>
        <v>94156314</v>
      </c>
      <c r="I31" s="74">
        <f>'(B) Base Bud Adj'!T30</f>
        <v>-2353350</v>
      </c>
      <c r="K31" s="74">
        <f>'(E) Tuit Fee Disc-GF Adjust'!N30</f>
        <v>1220700</v>
      </c>
      <c r="M31" s="74">
        <f>'(C) 12-13 Expenditure Adjust.'!G30</f>
        <v>-4928500</v>
      </c>
      <c r="O31" s="74">
        <f>'(D) Tuition Fee Revenue'!M30</f>
        <v>4160000</v>
      </c>
      <c r="Q31" s="395">
        <f t="shared" si="1"/>
        <v>40491147</v>
      </c>
      <c r="R31" s="74">
        <f t="shared" si="2"/>
        <v>46472227</v>
      </c>
      <c r="S31" s="74">
        <f t="shared" si="3"/>
        <v>5291790</v>
      </c>
      <c r="T31" s="74">
        <f t="shared" si="4"/>
        <v>92255164</v>
      </c>
      <c r="V31" s="403">
        <f>E31+'(E) Tuit Fee Disc-GF Adjust'!H30</f>
        <v>27585727</v>
      </c>
      <c r="W31" s="395">
        <f>'(D) Tuition Fee Revenue'!O30</f>
        <v>2819000</v>
      </c>
      <c r="X31" s="395">
        <f t="shared" si="5"/>
        <v>30404727</v>
      </c>
      <c r="Y31" s="395">
        <f t="shared" si="6"/>
        <v>76187664</v>
      </c>
    </row>
    <row r="32" spans="17:25" ht="9" customHeight="1">
      <c r="Q32" s="395"/>
      <c r="V32" s="395"/>
      <c r="W32" s="395"/>
      <c r="X32" s="395"/>
      <c r="Y32" s="395"/>
    </row>
    <row r="33" spans="2:25" s="72" customFormat="1" ht="12.75">
      <c r="B33" s="194" t="s">
        <v>22</v>
      </c>
      <c r="C33" s="194">
        <v>1872388736.1599998</v>
      </c>
      <c r="D33" s="194"/>
      <c r="E33" s="194">
        <f>SUM(E9:E32)</f>
        <v>2105595262</v>
      </c>
      <c r="F33" s="194">
        <f>SUM(F9:F31)</f>
        <v>340439700</v>
      </c>
      <c r="G33" s="194">
        <f>SUM(G9:G32)</f>
        <v>4318423698.16</v>
      </c>
      <c r="H33" s="189"/>
      <c r="I33" s="194">
        <f>SUM(I9:I32)</f>
        <v>-111105565</v>
      </c>
      <c r="J33" s="194"/>
      <c r="K33" s="194">
        <f>SUM(K9:K32)</f>
        <v>374000</v>
      </c>
      <c r="L33" s="194"/>
      <c r="M33" s="194">
        <f>SUM(M9:M32)</f>
        <v>-248124000</v>
      </c>
      <c r="N33" s="194"/>
      <c r="O33" s="194">
        <f>SUM(O9:O32)</f>
        <v>175038000</v>
      </c>
      <c r="P33" s="189"/>
      <c r="Q33" s="397">
        <f>SUM(Q9:Q32)</f>
        <v>1513533171.1599998</v>
      </c>
      <c r="R33" s="194">
        <f>SUM(R9:R32)</f>
        <v>2280633262</v>
      </c>
      <c r="S33" s="194">
        <f>SUM(S9:S32)</f>
        <v>340439700</v>
      </c>
      <c r="T33" s="194">
        <f>SUM(T9:T32)</f>
        <v>4134606133.16</v>
      </c>
      <c r="U33" s="189"/>
      <c r="V33" s="397">
        <f>SUM(V9:V32)</f>
        <v>1479760462</v>
      </c>
      <c r="W33" s="397">
        <f>SUM(W9:W32)</f>
        <v>109512000</v>
      </c>
      <c r="X33" s="397">
        <f>SUM(X9:X32)</f>
        <v>1589272462</v>
      </c>
      <c r="Y33" s="397">
        <f>SUM(Y9:Y32)</f>
        <v>3443245333.16</v>
      </c>
    </row>
    <row r="34" spans="17:25" ht="9" customHeight="1">
      <c r="Q34" s="395"/>
      <c r="V34" s="395"/>
      <c r="W34" s="395"/>
      <c r="X34" s="395"/>
      <c r="Y34" s="395"/>
    </row>
    <row r="35" spans="2:25" ht="12.75" customHeight="1">
      <c r="B35" s="74" t="s">
        <v>23</v>
      </c>
      <c r="C35" s="74">
        <v>64433802</v>
      </c>
      <c r="E35" s="74">
        <v>0</v>
      </c>
      <c r="F35" s="74">
        <v>0</v>
      </c>
      <c r="G35" s="74">
        <f aca="true" t="shared" si="7" ref="G35:G40">C35+E35+F35</f>
        <v>64433802</v>
      </c>
      <c r="I35" s="74">
        <f>'(B) Base Bud Adj'!T34</f>
        <v>-243236</v>
      </c>
      <c r="K35" s="74">
        <f>'(E) Tuit Fee Disc-GF Adjust'!N34</f>
        <v>0</v>
      </c>
      <c r="M35" s="74">
        <f>'(C) 12-13 Expenditure Adjust.'!G34</f>
        <v>-1876000</v>
      </c>
      <c r="O35" s="74">
        <f>'(D) Tuition Fee Revenue'!M34</f>
        <v>0</v>
      </c>
      <c r="Q35" s="395">
        <f aca="true" t="shared" si="8" ref="Q35:Q40">C35+K35+I35+M35</f>
        <v>62314566</v>
      </c>
      <c r="R35" s="74">
        <f aca="true" t="shared" si="9" ref="R35:R40">E35+O35</f>
        <v>0</v>
      </c>
      <c r="S35" s="74">
        <f aca="true" t="shared" si="10" ref="S35:S40">F35</f>
        <v>0</v>
      </c>
      <c r="T35" s="74">
        <f aca="true" t="shared" si="11" ref="T35:T40">Q35+R35+S35</f>
        <v>62314566</v>
      </c>
      <c r="V35" s="395">
        <v>0</v>
      </c>
      <c r="W35" s="395">
        <f>'(D) Tuition Fee Revenue'!O34</f>
        <v>0</v>
      </c>
      <c r="X35" s="395">
        <f aca="true" t="shared" si="12" ref="X35:X40">V35+W35</f>
        <v>0</v>
      </c>
      <c r="Y35" s="395">
        <f aca="true" t="shared" si="13" ref="Y35:Y40">Q35+X35+S35</f>
        <v>62314566</v>
      </c>
    </row>
    <row r="36" spans="1:25" ht="12.75" customHeight="1">
      <c r="A36" s="306"/>
      <c r="B36" s="74" t="s">
        <v>29</v>
      </c>
      <c r="C36" s="74">
        <v>981735</v>
      </c>
      <c r="E36" s="74">
        <v>0</v>
      </c>
      <c r="F36" s="74">
        <v>0</v>
      </c>
      <c r="G36" s="74">
        <f t="shared" si="7"/>
        <v>981735</v>
      </c>
      <c r="I36" s="74">
        <f>'(B) Base Bud Adj'!T35</f>
        <v>0</v>
      </c>
      <c r="K36" s="74">
        <f>'(E) Tuit Fee Disc-GF Adjust'!N35</f>
        <v>-220000</v>
      </c>
      <c r="M36" s="74">
        <f>'(C) 12-13 Expenditure Adjust.'!G35</f>
        <v>0</v>
      </c>
      <c r="O36" s="74">
        <f>'(D) Tuition Fee Revenue'!M35</f>
        <v>697000</v>
      </c>
      <c r="Q36" s="395">
        <f t="shared" si="8"/>
        <v>761735</v>
      </c>
      <c r="R36" s="74">
        <f t="shared" si="9"/>
        <v>697000</v>
      </c>
      <c r="S36" s="74">
        <f t="shared" si="10"/>
        <v>0</v>
      </c>
      <c r="T36" s="74">
        <f t="shared" si="11"/>
        <v>1458735</v>
      </c>
      <c r="V36" s="395">
        <v>0</v>
      </c>
      <c r="W36" s="395">
        <f>'(D) Tuition Fee Revenue'!O35</f>
        <v>477000</v>
      </c>
      <c r="X36" s="395">
        <f t="shared" si="12"/>
        <v>477000</v>
      </c>
      <c r="Y36" s="395">
        <f t="shared" si="13"/>
        <v>1238735</v>
      </c>
    </row>
    <row r="37" spans="1:25" ht="12.75" customHeight="1">
      <c r="A37" s="306"/>
      <c r="B37" s="74" t="s">
        <v>24</v>
      </c>
      <c r="C37" s="74">
        <v>2269496</v>
      </c>
      <c r="E37" s="75">
        <v>2772000</v>
      </c>
      <c r="F37" s="74">
        <v>0</v>
      </c>
      <c r="G37" s="74">
        <f t="shared" si="7"/>
        <v>5041496</v>
      </c>
      <c r="I37" s="74">
        <f>'(B) Base Bud Adj'!T36</f>
        <v>23123</v>
      </c>
      <c r="K37" s="74">
        <f>'(E) Tuit Fee Disc-GF Adjust'!N36</f>
        <v>-109000</v>
      </c>
      <c r="M37" s="74">
        <f>'(C) 12-13 Expenditure Adjust.'!G36</f>
        <v>0</v>
      </c>
      <c r="O37" s="74">
        <f>'(D) Tuition Fee Revenue'!M36</f>
        <v>567000</v>
      </c>
      <c r="Q37" s="395">
        <f t="shared" si="8"/>
        <v>2183619</v>
      </c>
      <c r="R37" s="74">
        <f t="shared" si="9"/>
        <v>3339000</v>
      </c>
      <c r="S37" s="74">
        <f t="shared" si="10"/>
        <v>0</v>
      </c>
      <c r="T37" s="74">
        <f t="shared" si="11"/>
        <v>5522619</v>
      </c>
      <c r="V37" s="408">
        <f>E37+'(E) Tuit Fee Disc-GF Adjust'!H36</f>
        <v>2772000</v>
      </c>
      <c r="W37" s="395">
        <f>'(D) Tuition Fee Revenue'!O36</f>
        <v>458000</v>
      </c>
      <c r="X37" s="395">
        <f t="shared" si="12"/>
        <v>3230000</v>
      </c>
      <c r="Y37" s="410">
        <f t="shared" si="13"/>
        <v>5413619</v>
      </c>
    </row>
    <row r="38" spans="1:25" ht="12.75" customHeight="1">
      <c r="A38" s="306"/>
      <c r="B38" s="74" t="s">
        <v>25</v>
      </c>
      <c r="C38" s="74">
        <v>57800</v>
      </c>
      <c r="E38" s="74">
        <v>0</v>
      </c>
      <c r="F38" s="74">
        <v>0</v>
      </c>
      <c r="G38" s="74">
        <f t="shared" si="7"/>
        <v>57800</v>
      </c>
      <c r="I38" s="74">
        <f>'(B) Base Bud Adj'!T37</f>
        <v>0</v>
      </c>
      <c r="K38" s="74">
        <f>'(E) Tuit Fee Disc-GF Adjust'!N37</f>
        <v>-45000</v>
      </c>
      <c r="M38" s="74">
        <f>'(C) 12-13 Expenditure Adjust.'!G37</f>
        <v>0</v>
      </c>
      <c r="O38" s="74">
        <f>'(D) Tuition Fee Revenue'!M37</f>
        <v>144000</v>
      </c>
      <c r="Q38" s="395">
        <f t="shared" si="8"/>
        <v>12800</v>
      </c>
      <c r="R38" s="74">
        <f t="shared" si="9"/>
        <v>144000</v>
      </c>
      <c r="S38" s="74">
        <f t="shared" si="10"/>
        <v>0</v>
      </c>
      <c r="T38" s="74">
        <f t="shared" si="11"/>
        <v>156800</v>
      </c>
      <c r="V38" s="395">
        <v>0</v>
      </c>
      <c r="W38" s="395">
        <f>'(D) Tuition Fee Revenue'!O37</f>
        <v>99000</v>
      </c>
      <c r="X38" s="395">
        <f t="shared" si="12"/>
        <v>99000</v>
      </c>
      <c r="Y38" s="395">
        <f t="shared" si="13"/>
        <v>111800</v>
      </c>
    </row>
    <row r="39" spans="2:25" ht="12.75" customHeight="1">
      <c r="B39" s="74" t="s">
        <v>26</v>
      </c>
      <c r="C39" s="74">
        <v>201141431</v>
      </c>
      <c r="D39" s="239"/>
      <c r="E39" s="74">
        <v>0</v>
      </c>
      <c r="F39" s="101">
        <v>1000</v>
      </c>
      <c r="G39" s="74">
        <f t="shared" si="7"/>
        <v>201142431</v>
      </c>
      <c r="I39" s="74">
        <f>'(B) Base Bud Adj'!T38</f>
        <v>-19295322</v>
      </c>
      <c r="K39" s="74">
        <f>'(E) Tuit Fee Disc-GF Adjust'!N38</f>
        <v>0</v>
      </c>
      <c r="M39" s="74">
        <f>'(C) 12-13 Expenditure Adjust.'!G38</f>
        <v>0</v>
      </c>
      <c r="O39" s="74">
        <f>'(D) Tuition Fee Revenue'!M38</f>
        <v>0</v>
      </c>
      <c r="P39" s="241"/>
      <c r="Q39" s="395">
        <f t="shared" si="8"/>
        <v>181846109</v>
      </c>
      <c r="R39" s="74">
        <f t="shared" si="9"/>
        <v>0</v>
      </c>
      <c r="S39" s="74">
        <f t="shared" si="10"/>
        <v>1000</v>
      </c>
      <c r="T39" s="74">
        <f t="shared" si="11"/>
        <v>181847109</v>
      </c>
      <c r="V39" s="395">
        <v>0</v>
      </c>
      <c r="W39" s="395">
        <f>'(D) Tuition Fee Revenue'!O38</f>
        <v>0</v>
      </c>
      <c r="X39" s="395">
        <f t="shared" si="12"/>
        <v>0</v>
      </c>
      <c r="Y39" s="395">
        <f t="shared" si="13"/>
        <v>181847109</v>
      </c>
    </row>
    <row r="40" spans="2:25" ht="12.75" customHeight="1">
      <c r="B40" s="74" t="s">
        <v>77</v>
      </c>
      <c r="C40" s="74">
        <v>0</v>
      </c>
      <c r="D40" s="239"/>
      <c r="E40" s="74">
        <v>0</v>
      </c>
      <c r="F40" s="101">
        <v>0</v>
      </c>
      <c r="G40" s="74">
        <f t="shared" si="7"/>
        <v>0</v>
      </c>
      <c r="I40" s="74">
        <f>'(B) Base Bud Adj'!T39</f>
        <v>0</v>
      </c>
      <c r="K40" s="74">
        <f>'(E) Tuit Fee Disc-GF Adjust'!N39</f>
        <v>0</v>
      </c>
      <c r="M40" s="74">
        <f>'(C) 12-13 Expenditure Adjust.'!G39</f>
        <v>250000000</v>
      </c>
      <c r="O40" s="74">
        <f>'(D) Tuition Fee Revenue'!M39</f>
        <v>0</v>
      </c>
      <c r="P40" s="241"/>
      <c r="Q40" s="395">
        <f t="shared" si="8"/>
        <v>250000000</v>
      </c>
      <c r="R40" s="74">
        <f t="shared" si="9"/>
        <v>0</v>
      </c>
      <c r="S40" s="74">
        <f t="shared" si="10"/>
        <v>0</v>
      </c>
      <c r="T40" s="74">
        <f t="shared" si="11"/>
        <v>250000000</v>
      </c>
      <c r="V40" s="395">
        <v>0</v>
      </c>
      <c r="W40" s="395">
        <f>'(D) Tuition Fee Revenue'!O39</f>
        <v>0</v>
      </c>
      <c r="X40" s="395">
        <f t="shared" si="12"/>
        <v>0</v>
      </c>
      <c r="Y40" s="395">
        <f t="shared" si="13"/>
        <v>250000000</v>
      </c>
    </row>
    <row r="41" spans="17:25" ht="9" customHeight="1">
      <c r="Q41" s="395"/>
      <c r="V41" s="395"/>
      <c r="W41" s="395"/>
      <c r="X41" s="395"/>
      <c r="Y41" s="395"/>
    </row>
    <row r="42" spans="2:25" s="72" customFormat="1" ht="13.5" thickBot="1">
      <c r="B42" s="198" t="s">
        <v>27</v>
      </c>
      <c r="C42" s="198">
        <f>SUM(C33:C39)</f>
        <v>2141273000.1599998</v>
      </c>
      <c r="D42" s="198"/>
      <c r="E42" s="198">
        <f>SUM(E33:E39)</f>
        <v>2108367262</v>
      </c>
      <c r="F42" s="198">
        <f>SUM(F33:F40)</f>
        <v>340440700</v>
      </c>
      <c r="G42" s="198">
        <f>SUM(G33:G40)</f>
        <v>4590080962.16</v>
      </c>
      <c r="H42" s="189"/>
      <c r="I42" s="240">
        <f>SUM(I33:I40)</f>
        <v>-130621000</v>
      </c>
      <c r="J42" s="240"/>
      <c r="K42" s="240">
        <f>SUM(K33:K40)</f>
        <v>0</v>
      </c>
      <c r="L42" s="240"/>
      <c r="M42" s="240">
        <f>SUM(M33:M40)</f>
        <v>0</v>
      </c>
      <c r="N42" s="240"/>
      <c r="O42" s="240">
        <f>SUM(O33:O40)</f>
        <v>176446000</v>
      </c>
      <c r="P42" s="189"/>
      <c r="Q42" s="398">
        <f>SUM(Q33:Q40)</f>
        <v>2010652000.1599998</v>
      </c>
      <c r="R42" s="198">
        <f>SUM(R33:R40)</f>
        <v>2284813262</v>
      </c>
      <c r="S42" s="198">
        <f>SUM(S33:S40)</f>
        <v>340440700</v>
      </c>
      <c r="T42" s="198">
        <f>SUM(T33:T40)</f>
        <v>4635905962.16</v>
      </c>
      <c r="U42" s="189"/>
      <c r="V42" s="407">
        <f>SUM(V33:V40)</f>
        <v>1482532462</v>
      </c>
      <c r="W42" s="404">
        <f>SUM(W33:W40)</f>
        <v>110546000</v>
      </c>
      <c r="X42" s="398">
        <f>SUM(X33:X40)</f>
        <v>1593078462</v>
      </c>
      <c r="Y42" s="407">
        <f>SUM(Y33:Y40)</f>
        <v>3944171162.16</v>
      </c>
    </row>
    <row r="43" ht="9" customHeight="1"/>
    <row r="44" spans="1:18" ht="13.5">
      <c r="A44" s="356">
        <v>1</v>
      </c>
      <c r="B44" s="357" t="s">
        <v>98</v>
      </c>
      <c r="P44" s="346"/>
      <c r="Q44" s="347"/>
      <c r="R44" s="347"/>
    </row>
    <row r="45" spans="1:19" ht="13.5">
      <c r="A45" s="356">
        <v>2</v>
      </c>
      <c r="B45" s="358" t="s">
        <v>153</v>
      </c>
      <c r="E45" s="98"/>
      <c r="F45" s="98"/>
      <c r="G45" s="98"/>
      <c r="H45" s="242"/>
      <c r="I45" s="243"/>
      <c r="J45" s="243"/>
      <c r="K45" s="243"/>
      <c r="L45" s="243"/>
      <c r="M45" s="243"/>
      <c r="N45" s="243"/>
      <c r="O45" s="243"/>
      <c r="P45" s="348"/>
      <c r="Q45" s="349"/>
      <c r="R45" s="98"/>
      <c r="S45" s="98"/>
    </row>
    <row r="46" spans="3:19" ht="18" customHeight="1"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</row>
    <row r="51" ht="12.75">
      <c r="Q51" s="304"/>
    </row>
  </sheetData>
  <sheetProtection/>
  <mergeCells count="9">
    <mergeCell ref="J6:L6"/>
    <mergeCell ref="V4:Y4"/>
    <mergeCell ref="C4:G4"/>
    <mergeCell ref="Q4:T4"/>
    <mergeCell ref="I5:M5"/>
    <mergeCell ref="Q5:T5"/>
    <mergeCell ref="I4:O4"/>
    <mergeCell ref="Y5:Y6"/>
    <mergeCell ref="V5:X5"/>
  </mergeCells>
  <printOptions horizontalCentered="1"/>
  <pageMargins left="0.25" right="0.25" top="0.5" bottom="0.25" header="0.5" footer="0.5"/>
  <pageSetup fitToHeight="1" fitToWidth="1" horizontalDpi="600" verticalDpi="600" orientation="landscape" paperSize="5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8" sqref="H38"/>
    </sheetView>
  </sheetViews>
  <sheetFormatPr defaultColWidth="9.33203125" defaultRowHeight="12.75"/>
  <cols>
    <col min="1" max="1" width="26.83203125" style="74" customWidth="1"/>
    <col min="2" max="2" width="14.83203125" style="74" customWidth="1"/>
    <col min="3" max="3" width="1.83203125" style="74" customWidth="1"/>
    <col min="4" max="4" width="2.83203125" style="74" customWidth="1"/>
    <col min="5" max="5" width="13.33203125" style="79" bestFit="1" customWidth="1"/>
    <col min="6" max="6" width="2.83203125" style="79" customWidth="1"/>
    <col min="7" max="7" width="1.83203125" style="79" customWidth="1"/>
    <col min="8" max="8" width="13.83203125" style="79" customWidth="1"/>
    <col min="9" max="9" width="1.83203125" style="79" customWidth="1"/>
    <col min="10" max="10" width="16.83203125" style="79" customWidth="1"/>
    <col min="11" max="11" width="1.83203125" style="79" customWidth="1"/>
    <col min="12" max="12" width="14.83203125" style="79" bestFit="1" customWidth="1"/>
    <col min="13" max="13" width="2.33203125" style="79" customWidth="1"/>
    <col min="14" max="14" width="4.83203125" style="79" customWidth="1"/>
    <col min="15" max="15" width="11.5" style="79" bestFit="1" customWidth="1"/>
    <col min="16" max="16" width="4.83203125" style="79" customWidth="1"/>
    <col min="17" max="17" width="16.83203125" style="79" hidden="1" customWidth="1"/>
    <col min="18" max="18" width="1.83203125" style="79" hidden="1" customWidth="1"/>
    <col min="19" max="19" width="2.33203125" style="79" customWidth="1"/>
    <col min="20" max="20" width="14.83203125" style="79" customWidth="1"/>
    <col min="21" max="21" width="2.33203125" style="79" customWidth="1"/>
    <col min="22" max="22" width="18.83203125" style="79" customWidth="1"/>
    <col min="23" max="24" width="12.83203125" style="74" customWidth="1"/>
    <col min="25" max="25" width="13.83203125" style="74" customWidth="1"/>
    <col min="26" max="26" width="3.16015625" style="74" customWidth="1"/>
    <col min="27" max="27" width="14.16015625" style="74" bestFit="1" customWidth="1"/>
    <col min="28" max="16384" width="9.33203125" style="74" customWidth="1"/>
  </cols>
  <sheetData>
    <row r="1" spans="1:22" ht="16.5">
      <c r="A1" s="14" t="s">
        <v>155</v>
      </c>
      <c r="B1" s="1"/>
      <c r="C1" s="1"/>
      <c r="D1" s="1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7.5" customHeight="1">
      <c r="A2" s="20"/>
      <c r="B2" s="1"/>
      <c r="C2" s="1"/>
      <c r="D2" s="1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06"/>
      <c r="U2" s="76"/>
      <c r="V2" s="76"/>
    </row>
    <row r="3" spans="2:22" s="15" customFormat="1" ht="14.25">
      <c r="B3" s="16">
        <f>-1</f>
        <v>-1</v>
      </c>
      <c r="C3" s="16"/>
      <c r="E3" s="16">
        <v>-2</v>
      </c>
      <c r="F3" s="16"/>
      <c r="G3" s="16"/>
      <c r="H3" s="16">
        <v>-3</v>
      </c>
      <c r="I3" s="16"/>
      <c r="J3" s="16">
        <v>-4</v>
      </c>
      <c r="L3" s="17">
        <f>-5</f>
        <v>-5</v>
      </c>
      <c r="M3" s="17"/>
      <c r="N3" s="17"/>
      <c r="O3" s="17">
        <f>-6</f>
        <v>-6</v>
      </c>
      <c r="P3" s="17"/>
      <c r="Q3" s="16">
        <f>-5</f>
        <v>-5</v>
      </c>
      <c r="R3" s="16"/>
      <c r="S3" s="16"/>
      <c r="T3" s="111" t="s">
        <v>68</v>
      </c>
      <c r="U3" s="16"/>
      <c r="V3" s="111" t="s">
        <v>69</v>
      </c>
    </row>
    <row r="4" spans="2:22" s="6" customFormat="1" ht="6" customHeight="1">
      <c r="B4" s="8"/>
      <c r="C4" s="8"/>
      <c r="E4" s="8"/>
      <c r="F4" s="8"/>
      <c r="G4" s="8"/>
      <c r="H4" s="8"/>
      <c r="I4" s="8"/>
      <c r="J4" s="8"/>
      <c r="K4" s="8"/>
      <c r="L4" s="7"/>
      <c r="M4" s="7"/>
      <c r="N4" s="7"/>
      <c r="O4" s="7"/>
      <c r="P4" s="7"/>
      <c r="Q4" s="7"/>
      <c r="R4" s="7"/>
      <c r="S4" s="8"/>
      <c r="T4" s="8"/>
      <c r="U4" s="8"/>
      <c r="V4" s="8"/>
    </row>
    <row r="5" spans="1:22" s="234" customFormat="1" ht="69" customHeight="1">
      <c r="A5" s="363"/>
      <c r="B5" s="248" t="s">
        <v>96</v>
      </c>
      <c r="C5" s="392"/>
      <c r="D5" s="423" t="s">
        <v>80</v>
      </c>
      <c r="E5" s="423"/>
      <c r="F5" s="423"/>
      <c r="G5" s="363"/>
      <c r="H5" s="363" t="s">
        <v>84</v>
      </c>
      <c r="I5" s="363"/>
      <c r="J5" s="248" t="s">
        <v>86</v>
      </c>
      <c r="K5" s="363"/>
      <c r="L5" s="363" t="s">
        <v>95</v>
      </c>
      <c r="M5" s="363"/>
      <c r="N5" s="423" t="s">
        <v>182</v>
      </c>
      <c r="O5" s="423"/>
      <c r="P5" s="423"/>
      <c r="Q5" s="363"/>
      <c r="R5" s="363"/>
      <c r="S5" s="249"/>
      <c r="T5" s="232" t="s">
        <v>61</v>
      </c>
      <c r="U5" s="249"/>
      <c r="V5" s="350" t="s">
        <v>141</v>
      </c>
    </row>
    <row r="6" spans="1:22" s="155" customFormat="1" ht="14.25" customHeight="1">
      <c r="A6" s="152"/>
      <c r="B6" s="153"/>
      <c r="C6" s="152"/>
      <c r="D6" s="152"/>
      <c r="E6" s="154"/>
      <c r="F6" s="154"/>
      <c r="G6" s="154"/>
      <c r="H6" s="154"/>
      <c r="I6" s="154"/>
      <c r="J6" s="82" t="s">
        <v>87</v>
      </c>
      <c r="K6" s="154"/>
      <c r="L6" s="83"/>
      <c r="M6" s="83"/>
      <c r="N6" s="83"/>
      <c r="O6" s="83"/>
      <c r="P6" s="83"/>
      <c r="Q6" s="83"/>
      <c r="R6" s="83"/>
      <c r="S6" s="83"/>
      <c r="T6" s="270" t="s">
        <v>88</v>
      </c>
      <c r="U6" s="83"/>
      <c r="V6" s="82" t="s">
        <v>93</v>
      </c>
    </row>
    <row r="7" spans="1:22" ht="7.5" customHeight="1">
      <c r="A7" s="77"/>
      <c r="B7" s="100"/>
      <c r="C7" s="77"/>
      <c r="D7" s="77"/>
      <c r="E7" s="78"/>
      <c r="F7" s="78"/>
      <c r="G7" s="78"/>
      <c r="H7" s="78"/>
      <c r="I7" s="78"/>
      <c r="J7" s="156"/>
      <c r="K7" s="78"/>
      <c r="L7" s="11"/>
      <c r="M7" s="11"/>
      <c r="N7" s="11"/>
      <c r="O7" s="11"/>
      <c r="P7" s="11"/>
      <c r="Q7" s="11"/>
      <c r="R7" s="11"/>
      <c r="S7" s="11"/>
      <c r="T7" s="10"/>
      <c r="U7" s="11"/>
      <c r="V7" s="10"/>
    </row>
    <row r="8" spans="1:22" s="13" customFormat="1" ht="12.75" customHeight="1">
      <c r="A8" s="72" t="s">
        <v>0</v>
      </c>
      <c r="B8" s="186">
        <f>'(A) Budget Summary'!C9</f>
        <v>48741489</v>
      </c>
      <c r="C8" s="188"/>
      <c r="D8" s="187"/>
      <c r="E8" s="188">
        <v>-2065800</v>
      </c>
      <c r="F8" s="188"/>
      <c r="G8" s="188"/>
      <c r="H8" s="188">
        <v>-259980</v>
      </c>
      <c r="I8" s="188"/>
      <c r="J8" s="186">
        <f>B8+E8+H8</f>
        <v>46415709</v>
      </c>
      <c r="K8" s="188"/>
      <c r="L8" s="188"/>
      <c r="M8" s="188"/>
      <c r="N8" s="188"/>
      <c r="O8" s="188">
        <v>-39200</v>
      </c>
      <c r="P8" s="188"/>
      <c r="Q8" s="188"/>
      <c r="R8" s="188"/>
      <c r="S8" s="188"/>
      <c r="T8" s="186">
        <f>E8+H8+L8+O8</f>
        <v>-2364980</v>
      </c>
      <c r="U8" s="188"/>
      <c r="V8" s="186">
        <f>B8+T8</f>
        <v>46376509</v>
      </c>
    </row>
    <row r="9" spans="1:22" s="9" customFormat="1" ht="12.75" customHeight="1">
      <c r="A9" s="74" t="s">
        <v>1</v>
      </c>
      <c r="B9" s="190">
        <f>'(A) Budget Summary'!C10</f>
        <v>44118320</v>
      </c>
      <c r="C9" s="76"/>
      <c r="D9" s="79"/>
      <c r="E9" s="191">
        <f>-1648100</f>
        <v>-1648100</v>
      </c>
      <c r="F9" s="191"/>
      <c r="G9" s="191"/>
      <c r="H9" s="191">
        <v>-198510</v>
      </c>
      <c r="I9" s="191"/>
      <c r="J9" s="192">
        <f aca="true" t="shared" si="0" ref="J9:J30">B9+E9+H9</f>
        <v>42271710</v>
      </c>
      <c r="K9" s="191"/>
      <c r="L9" s="76">
        <v>1648100</v>
      </c>
      <c r="M9" s="76"/>
      <c r="N9" s="76"/>
      <c r="O9" s="76">
        <v>-19000</v>
      </c>
      <c r="P9" s="76"/>
      <c r="Q9" s="76"/>
      <c r="R9" s="76"/>
      <c r="S9" s="76"/>
      <c r="T9" s="190">
        <f>E9+H9+L9+O9</f>
        <v>-217510</v>
      </c>
      <c r="U9" s="76"/>
      <c r="V9" s="190">
        <f>B9+T9</f>
        <v>43900810</v>
      </c>
    </row>
    <row r="10" spans="1:22" s="9" customFormat="1" ht="12.75" customHeight="1">
      <c r="A10" s="74" t="s">
        <v>2</v>
      </c>
      <c r="B10" s="190">
        <f>'(A) Budget Summary'!C11</f>
        <v>81330222</v>
      </c>
      <c r="C10" s="76"/>
      <c r="D10" s="79"/>
      <c r="E10" s="191">
        <v>-4075800</v>
      </c>
      <c r="F10" s="191"/>
      <c r="G10" s="191"/>
      <c r="H10" s="191">
        <v>-502490</v>
      </c>
      <c r="I10" s="191"/>
      <c r="J10" s="192">
        <f t="shared" si="0"/>
        <v>76751932</v>
      </c>
      <c r="K10" s="191"/>
      <c r="L10" s="76"/>
      <c r="M10" s="76"/>
      <c r="N10" s="76"/>
      <c r="O10" s="76">
        <v>-83300</v>
      </c>
      <c r="P10" s="76"/>
      <c r="Q10" s="76"/>
      <c r="R10" s="76"/>
      <c r="S10" s="76"/>
      <c r="T10" s="190">
        <f aca="true" t="shared" si="1" ref="T10:T30">E10+H10+L10+O10</f>
        <v>-4661590</v>
      </c>
      <c r="U10" s="76"/>
      <c r="V10" s="190">
        <f aca="true" t="shared" si="2" ref="V10:V30">B10+T10</f>
        <v>76668632</v>
      </c>
    </row>
    <row r="11" spans="1:22" s="9" customFormat="1" ht="12.75" customHeight="1">
      <c r="A11" s="74" t="s">
        <v>3</v>
      </c>
      <c r="B11" s="190">
        <f>'(A) Budget Summary'!C12</f>
        <v>59766882</v>
      </c>
      <c r="C11" s="76"/>
      <c r="D11" s="79"/>
      <c r="E11" s="191">
        <v>-2681100</v>
      </c>
      <c r="F11" s="191"/>
      <c r="G11" s="191"/>
      <c r="H11" s="191">
        <v>-307630</v>
      </c>
      <c r="I11" s="191"/>
      <c r="J11" s="192">
        <f t="shared" si="0"/>
        <v>56778152</v>
      </c>
      <c r="K11" s="191"/>
      <c r="L11" s="76"/>
      <c r="M11" s="76"/>
      <c r="N11" s="76"/>
      <c r="O11" s="76">
        <v>-58300</v>
      </c>
      <c r="P11" s="76"/>
      <c r="Q11" s="76"/>
      <c r="R11" s="76"/>
      <c r="S11" s="76"/>
      <c r="T11" s="190">
        <f t="shared" si="1"/>
        <v>-3047030</v>
      </c>
      <c r="U11" s="76"/>
      <c r="V11" s="190">
        <f t="shared" si="2"/>
        <v>56719852</v>
      </c>
    </row>
    <row r="12" spans="1:22" s="9" customFormat="1" ht="12.75" customHeight="1">
      <c r="A12" s="74" t="s">
        <v>28</v>
      </c>
      <c r="B12" s="190">
        <f>'(A) Budget Summary'!C13</f>
        <v>64021941</v>
      </c>
      <c r="C12" s="76"/>
      <c r="D12" s="79"/>
      <c r="E12" s="191">
        <v>-3760500</v>
      </c>
      <c r="F12" s="191"/>
      <c r="G12" s="191"/>
      <c r="H12" s="191">
        <v>-442980</v>
      </c>
      <c r="I12" s="191"/>
      <c r="J12" s="192">
        <f t="shared" si="0"/>
        <v>59818461</v>
      </c>
      <c r="K12" s="191"/>
      <c r="L12" s="76"/>
      <c r="M12" s="76"/>
      <c r="N12" s="76"/>
      <c r="O12" s="76">
        <v>-84500</v>
      </c>
      <c r="P12" s="76"/>
      <c r="Q12" s="76"/>
      <c r="R12" s="76"/>
      <c r="S12" s="76"/>
      <c r="T12" s="190">
        <f t="shared" si="1"/>
        <v>-4287980</v>
      </c>
      <c r="U12" s="76"/>
      <c r="V12" s="190">
        <f t="shared" si="2"/>
        <v>59733961</v>
      </c>
    </row>
    <row r="13" spans="1:22" s="9" customFormat="1" ht="12.75" customHeight="1">
      <c r="A13" s="74" t="s">
        <v>4</v>
      </c>
      <c r="B13" s="190">
        <f>'(A) Budget Summary'!C14</f>
        <v>105923822</v>
      </c>
      <c r="C13" s="76"/>
      <c r="D13" s="79"/>
      <c r="E13" s="191">
        <v>-5133700</v>
      </c>
      <c r="F13" s="191"/>
      <c r="G13" s="191"/>
      <c r="H13" s="191">
        <v>-575490</v>
      </c>
      <c r="I13" s="191"/>
      <c r="J13" s="192">
        <f t="shared" si="0"/>
        <v>100214632</v>
      </c>
      <c r="K13" s="191"/>
      <c r="L13" s="76"/>
      <c r="M13" s="76"/>
      <c r="N13" s="76"/>
      <c r="O13" s="76">
        <v>-107200</v>
      </c>
      <c r="P13" s="76"/>
      <c r="Q13" s="76"/>
      <c r="R13" s="76"/>
      <c r="S13" s="76"/>
      <c r="T13" s="190">
        <f t="shared" si="1"/>
        <v>-5816390</v>
      </c>
      <c r="U13" s="76"/>
      <c r="V13" s="190">
        <f t="shared" si="2"/>
        <v>100107432</v>
      </c>
    </row>
    <row r="14" spans="1:22" s="9" customFormat="1" ht="12.75" customHeight="1">
      <c r="A14" s="74" t="s">
        <v>5</v>
      </c>
      <c r="B14" s="190">
        <f>'(A) Budget Summary'!C15</f>
        <v>116085961</v>
      </c>
      <c r="C14" s="76"/>
      <c r="D14" s="79"/>
      <c r="E14" s="191">
        <v>-7460700</v>
      </c>
      <c r="F14" s="191"/>
      <c r="G14" s="191"/>
      <c r="H14" s="191">
        <v>-831800</v>
      </c>
      <c r="I14" s="191"/>
      <c r="J14" s="192">
        <f t="shared" si="0"/>
        <v>107793461</v>
      </c>
      <c r="K14" s="191"/>
      <c r="L14" s="76"/>
      <c r="M14" s="76"/>
      <c r="N14" s="76"/>
      <c r="O14" s="76">
        <v>-185900</v>
      </c>
      <c r="P14" s="76"/>
      <c r="Q14" s="76"/>
      <c r="R14" s="76"/>
      <c r="S14" s="76"/>
      <c r="T14" s="190">
        <f t="shared" si="1"/>
        <v>-8478400</v>
      </c>
      <c r="U14" s="76"/>
      <c r="V14" s="190">
        <f t="shared" si="2"/>
        <v>107607561</v>
      </c>
    </row>
    <row r="15" spans="1:22" s="9" customFormat="1" ht="12.75" customHeight="1">
      <c r="A15" s="74" t="s">
        <v>6</v>
      </c>
      <c r="B15" s="190">
        <f>'(A) Budget Summary'!C16</f>
        <v>59408350</v>
      </c>
      <c r="C15" s="76"/>
      <c r="D15" s="79"/>
      <c r="E15" s="191">
        <v>-2494200</v>
      </c>
      <c r="F15" s="191"/>
      <c r="G15" s="191"/>
      <c r="H15" s="191">
        <v>-312340</v>
      </c>
      <c r="I15" s="191"/>
      <c r="J15" s="192">
        <f t="shared" si="0"/>
        <v>56601810</v>
      </c>
      <c r="K15" s="191"/>
      <c r="L15" s="76"/>
      <c r="M15" s="76"/>
      <c r="N15" s="76"/>
      <c r="O15" s="76">
        <v>-45200</v>
      </c>
      <c r="P15" s="76"/>
      <c r="Q15" s="76"/>
      <c r="R15" s="76"/>
      <c r="S15" s="76"/>
      <c r="T15" s="190">
        <f t="shared" si="1"/>
        <v>-2851740</v>
      </c>
      <c r="U15" s="76"/>
      <c r="V15" s="190">
        <f t="shared" si="2"/>
        <v>56556610</v>
      </c>
    </row>
    <row r="16" spans="1:22" s="9" customFormat="1" ht="12.75" customHeight="1">
      <c r="A16" s="74" t="s">
        <v>7</v>
      </c>
      <c r="B16" s="190">
        <f>'(A) Budget Summary'!C17</f>
        <v>131395036.16</v>
      </c>
      <c r="C16" s="76"/>
      <c r="D16" s="79"/>
      <c r="E16" s="191">
        <v>-7653700</v>
      </c>
      <c r="F16" s="191"/>
      <c r="G16" s="191"/>
      <c r="H16" s="191">
        <v>-1012100</v>
      </c>
      <c r="I16" s="191"/>
      <c r="J16" s="192">
        <f t="shared" si="0"/>
        <v>122729236.16</v>
      </c>
      <c r="K16" s="191"/>
      <c r="L16" s="76"/>
      <c r="M16" s="76"/>
      <c r="N16" s="76"/>
      <c r="O16" s="76">
        <v>-187100</v>
      </c>
      <c r="P16" s="76"/>
      <c r="Q16" s="76"/>
      <c r="R16" s="76"/>
      <c r="S16" s="76"/>
      <c r="T16" s="190">
        <f t="shared" si="1"/>
        <v>-8852900</v>
      </c>
      <c r="U16" s="76"/>
      <c r="V16" s="190">
        <f t="shared" si="2"/>
        <v>122542136.16</v>
      </c>
    </row>
    <row r="17" spans="1:22" s="9" customFormat="1" ht="12.75" customHeight="1">
      <c r="A17" s="74" t="s">
        <v>8</v>
      </c>
      <c r="B17" s="190">
        <f>'(A) Budget Summary'!C18</f>
        <v>96874129</v>
      </c>
      <c r="C17" s="76"/>
      <c r="D17" s="79"/>
      <c r="E17" s="191">
        <v>-4761100</v>
      </c>
      <c r="F17" s="191"/>
      <c r="G17" s="191"/>
      <c r="H17" s="191">
        <v>-584590</v>
      </c>
      <c r="I17" s="191"/>
      <c r="J17" s="192">
        <f t="shared" si="0"/>
        <v>91528439</v>
      </c>
      <c r="K17" s="191"/>
      <c r="L17" s="76"/>
      <c r="M17" s="76"/>
      <c r="N17" s="76"/>
      <c r="O17" s="76">
        <v>-108800</v>
      </c>
      <c r="P17" s="76"/>
      <c r="Q17" s="76"/>
      <c r="R17" s="76"/>
      <c r="S17" s="76"/>
      <c r="T17" s="190">
        <f t="shared" si="1"/>
        <v>-5454490</v>
      </c>
      <c r="U17" s="76"/>
      <c r="V17" s="190">
        <f t="shared" si="2"/>
        <v>91419639</v>
      </c>
    </row>
    <row r="18" spans="1:22" s="9" customFormat="1" ht="12.75" customHeight="1">
      <c r="A18" s="74" t="s">
        <v>9</v>
      </c>
      <c r="B18" s="190">
        <f>'(A) Budget Summary'!C19</f>
        <v>21107751</v>
      </c>
      <c r="C18" s="76"/>
      <c r="D18" s="79"/>
      <c r="E18" s="74">
        <f>-724700</f>
        <v>-724700</v>
      </c>
      <c r="F18" s="74"/>
      <c r="G18" s="191"/>
      <c r="H18" s="191">
        <v>-75680</v>
      </c>
      <c r="I18" s="191"/>
      <c r="J18" s="192">
        <f t="shared" si="0"/>
        <v>20307371</v>
      </c>
      <c r="K18" s="191"/>
      <c r="L18" s="76">
        <f>724700+856705</f>
        <v>1581405</v>
      </c>
      <c r="M18" s="76"/>
      <c r="N18" s="76"/>
      <c r="O18" s="76">
        <v>-5900</v>
      </c>
      <c r="P18" s="76"/>
      <c r="Q18" s="76"/>
      <c r="R18" s="76"/>
      <c r="S18" s="76"/>
      <c r="T18" s="190">
        <f t="shared" si="1"/>
        <v>775125</v>
      </c>
      <c r="U18" s="76"/>
      <c r="V18" s="190">
        <f t="shared" si="2"/>
        <v>21882876</v>
      </c>
    </row>
    <row r="19" spans="1:22" s="9" customFormat="1" ht="12.75" customHeight="1">
      <c r="A19" s="74" t="s">
        <v>10</v>
      </c>
      <c r="B19" s="190">
        <f>'(A) Budget Summary'!C20</f>
        <v>51339423</v>
      </c>
      <c r="C19" s="76"/>
      <c r="D19" s="79"/>
      <c r="E19" s="191">
        <v>-1860700</v>
      </c>
      <c r="F19" s="191"/>
      <c r="G19" s="191"/>
      <c r="H19" s="191">
        <v>-208340</v>
      </c>
      <c r="I19" s="191"/>
      <c r="J19" s="192">
        <f t="shared" si="0"/>
        <v>49270383</v>
      </c>
      <c r="K19" s="191"/>
      <c r="L19" s="76"/>
      <c r="M19" s="76"/>
      <c r="N19" s="76"/>
      <c r="O19" s="76">
        <v>-24100</v>
      </c>
      <c r="P19" s="76"/>
      <c r="Q19" s="76"/>
      <c r="R19" s="76"/>
      <c r="S19" s="76"/>
      <c r="T19" s="190">
        <f t="shared" si="1"/>
        <v>-2093140</v>
      </c>
      <c r="U19" s="76"/>
      <c r="V19" s="190">
        <f t="shared" si="2"/>
        <v>49246283</v>
      </c>
    </row>
    <row r="20" spans="1:22" s="9" customFormat="1" ht="12.75" customHeight="1">
      <c r="A20" s="74" t="s">
        <v>11</v>
      </c>
      <c r="B20" s="190">
        <f>'(A) Budget Summary'!C21</f>
        <v>131345346</v>
      </c>
      <c r="C20" s="76"/>
      <c r="D20" s="79"/>
      <c r="E20" s="191">
        <v>-7865600</v>
      </c>
      <c r="F20" s="191"/>
      <c r="G20" s="191"/>
      <c r="H20" s="191">
        <v>-909550</v>
      </c>
      <c r="I20" s="191"/>
      <c r="J20" s="192">
        <f t="shared" si="0"/>
        <v>122570196</v>
      </c>
      <c r="K20" s="191"/>
      <c r="L20" s="76"/>
      <c r="M20" s="76"/>
      <c r="N20" s="76"/>
      <c r="O20" s="76">
        <v>-190300</v>
      </c>
      <c r="P20" s="76"/>
      <c r="Q20" s="76"/>
      <c r="R20" s="76"/>
      <c r="S20" s="76"/>
      <c r="T20" s="190">
        <f t="shared" si="1"/>
        <v>-8965450</v>
      </c>
      <c r="U20" s="76"/>
      <c r="V20" s="190">
        <f t="shared" si="2"/>
        <v>122379896</v>
      </c>
    </row>
    <row r="21" spans="1:22" s="9" customFormat="1" ht="12.75" customHeight="1">
      <c r="A21" s="74" t="s">
        <v>12</v>
      </c>
      <c r="B21" s="190">
        <f>'(A) Budget Summary'!C22</f>
        <v>96644062</v>
      </c>
      <c r="C21" s="76"/>
      <c r="D21" s="79"/>
      <c r="E21" s="191">
        <v>-4918100</v>
      </c>
      <c r="F21" s="191"/>
      <c r="G21" s="191"/>
      <c r="H21" s="191">
        <v>-640420</v>
      </c>
      <c r="I21" s="191"/>
      <c r="J21" s="192">
        <f t="shared" si="0"/>
        <v>91085542</v>
      </c>
      <c r="K21" s="191"/>
      <c r="L21" s="76"/>
      <c r="M21" s="76"/>
      <c r="N21" s="76"/>
      <c r="O21" s="76">
        <v>-101500</v>
      </c>
      <c r="P21" s="76"/>
      <c r="Q21" s="76"/>
      <c r="R21" s="76"/>
      <c r="S21" s="76"/>
      <c r="T21" s="190">
        <f t="shared" si="1"/>
        <v>-5660020</v>
      </c>
      <c r="U21" s="76"/>
      <c r="V21" s="190">
        <f t="shared" si="2"/>
        <v>90984042</v>
      </c>
    </row>
    <row r="22" spans="1:22" s="9" customFormat="1" ht="12.75" customHeight="1">
      <c r="A22" s="74" t="s">
        <v>13</v>
      </c>
      <c r="B22" s="190">
        <f>'(A) Budget Summary'!C23</f>
        <v>107426677</v>
      </c>
      <c r="C22" s="76"/>
      <c r="D22" s="79"/>
      <c r="E22" s="191">
        <v>-5857300</v>
      </c>
      <c r="F22" s="191"/>
      <c r="G22" s="191"/>
      <c r="H22" s="191">
        <v>-729040</v>
      </c>
      <c r="I22" s="191"/>
      <c r="J22" s="192">
        <f t="shared" si="0"/>
        <v>100840337</v>
      </c>
      <c r="K22" s="191"/>
      <c r="L22" s="76"/>
      <c r="M22" s="76"/>
      <c r="N22" s="76"/>
      <c r="O22" s="76">
        <v>-137900</v>
      </c>
      <c r="P22" s="76"/>
      <c r="Q22" s="76"/>
      <c r="R22" s="76"/>
      <c r="S22" s="76"/>
      <c r="T22" s="190">
        <f t="shared" si="1"/>
        <v>-6724240</v>
      </c>
      <c r="U22" s="76"/>
      <c r="V22" s="190">
        <f t="shared" si="2"/>
        <v>100702437</v>
      </c>
    </row>
    <row r="23" spans="1:22" s="9" customFormat="1" ht="12.75" customHeight="1">
      <c r="A23" s="74" t="s">
        <v>14</v>
      </c>
      <c r="B23" s="190">
        <f>'(A) Budget Summary'!C24</f>
        <v>75776878</v>
      </c>
      <c r="C23" s="76"/>
      <c r="D23" s="79"/>
      <c r="E23" s="191">
        <v>-3819000</v>
      </c>
      <c r="F23" s="191"/>
      <c r="G23" s="191"/>
      <c r="H23" s="191">
        <v>-447570</v>
      </c>
      <c r="I23" s="191"/>
      <c r="J23" s="192">
        <f t="shared" si="0"/>
        <v>71510308</v>
      </c>
      <c r="K23" s="191"/>
      <c r="L23" s="76"/>
      <c r="M23" s="76"/>
      <c r="N23" s="76"/>
      <c r="O23" s="76">
        <v>-96500</v>
      </c>
      <c r="P23" s="76"/>
      <c r="Q23" s="76"/>
      <c r="R23" s="76"/>
      <c r="S23" s="76"/>
      <c r="T23" s="190">
        <f t="shared" si="1"/>
        <v>-4363070</v>
      </c>
      <c r="U23" s="76"/>
      <c r="V23" s="190">
        <f t="shared" si="2"/>
        <v>71413808</v>
      </c>
    </row>
    <row r="24" spans="1:22" s="9" customFormat="1" ht="12.75" customHeight="1">
      <c r="A24" s="74" t="s">
        <v>15</v>
      </c>
      <c r="B24" s="190">
        <f>'(A) Budget Summary'!C25</f>
        <v>133941246</v>
      </c>
      <c r="C24" s="76"/>
      <c r="D24" s="79"/>
      <c r="E24" s="191">
        <v>-7859700</v>
      </c>
      <c r="F24" s="191"/>
      <c r="G24" s="191"/>
      <c r="H24" s="191">
        <v>-942950</v>
      </c>
      <c r="I24" s="191"/>
      <c r="J24" s="192">
        <f t="shared" si="0"/>
        <v>125138596</v>
      </c>
      <c r="K24" s="191"/>
      <c r="L24" s="76"/>
      <c r="M24" s="76"/>
      <c r="N24" s="76"/>
      <c r="O24" s="76">
        <v>-175600</v>
      </c>
      <c r="P24" s="76"/>
      <c r="Q24" s="76"/>
      <c r="R24" s="76"/>
      <c r="S24" s="76"/>
      <c r="T24" s="190">
        <f t="shared" si="1"/>
        <v>-8978250</v>
      </c>
      <c r="U24" s="76"/>
      <c r="V24" s="190">
        <f t="shared" si="2"/>
        <v>124962996</v>
      </c>
    </row>
    <row r="25" spans="1:22" s="9" customFormat="1" ht="12.75" customHeight="1">
      <c r="A25" s="74" t="s">
        <v>16</v>
      </c>
      <c r="B25" s="190">
        <f>'(A) Budget Summary'!C26</f>
        <v>111787439</v>
      </c>
      <c r="C25" s="76"/>
      <c r="D25" s="79"/>
      <c r="E25" s="191">
        <v>-6760000</v>
      </c>
      <c r="F25" s="191"/>
      <c r="G25" s="191"/>
      <c r="H25" s="191">
        <v>-833880</v>
      </c>
      <c r="I25" s="191"/>
      <c r="J25" s="192">
        <f t="shared" si="0"/>
        <v>104193559</v>
      </c>
      <c r="K25" s="191"/>
      <c r="L25" s="76"/>
      <c r="M25" s="76"/>
      <c r="N25" s="76"/>
      <c r="O25" s="76">
        <v>-162600</v>
      </c>
      <c r="P25" s="76"/>
      <c r="Q25" s="76"/>
      <c r="R25" s="76"/>
      <c r="S25" s="76"/>
      <c r="T25" s="190">
        <f t="shared" si="1"/>
        <v>-7756480</v>
      </c>
      <c r="U25" s="76"/>
      <c r="V25" s="190">
        <f t="shared" si="2"/>
        <v>104030959</v>
      </c>
    </row>
    <row r="26" spans="1:22" s="9" customFormat="1" ht="12.75" customHeight="1">
      <c r="A26" s="74" t="s">
        <v>17</v>
      </c>
      <c r="B26" s="190">
        <f>'(A) Budget Summary'!C27</f>
        <v>101113122</v>
      </c>
      <c r="C26" s="76"/>
      <c r="D26" s="79"/>
      <c r="E26" s="191">
        <v>-6466600</v>
      </c>
      <c r="F26" s="191"/>
      <c r="G26" s="191"/>
      <c r="H26" s="191">
        <v>-821440</v>
      </c>
      <c r="I26" s="191"/>
      <c r="J26" s="192">
        <f t="shared" si="0"/>
        <v>93825082</v>
      </c>
      <c r="K26" s="191"/>
      <c r="L26" s="76"/>
      <c r="M26" s="76"/>
      <c r="N26" s="76"/>
      <c r="O26" s="76">
        <v>-151100</v>
      </c>
      <c r="P26" s="76"/>
      <c r="Q26" s="76"/>
      <c r="R26" s="76"/>
      <c r="S26" s="76"/>
      <c r="T26" s="190">
        <f t="shared" si="1"/>
        <v>-7439140</v>
      </c>
      <c r="U26" s="76"/>
      <c r="V26" s="190">
        <f t="shared" si="2"/>
        <v>93673982</v>
      </c>
    </row>
    <row r="27" spans="1:22" s="9" customFormat="1" ht="12.75" customHeight="1">
      <c r="A27" s="74" t="s">
        <v>18</v>
      </c>
      <c r="B27" s="190">
        <f>'(A) Budget Summary'!C28</f>
        <v>89543438</v>
      </c>
      <c r="C27" s="76"/>
      <c r="D27" s="79"/>
      <c r="E27" s="191">
        <v>-5259900</v>
      </c>
      <c r="F27" s="191"/>
      <c r="G27" s="191"/>
      <c r="H27" s="191">
        <v>-641770</v>
      </c>
      <c r="I27" s="191"/>
      <c r="J27" s="192">
        <f t="shared" si="0"/>
        <v>83641768</v>
      </c>
      <c r="K27" s="191"/>
      <c r="L27" s="76"/>
      <c r="M27" s="76"/>
      <c r="N27" s="76"/>
      <c r="O27" s="76">
        <v>-116400</v>
      </c>
      <c r="P27" s="76"/>
      <c r="Q27" s="76"/>
      <c r="R27" s="76"/>
      <c r="S27" s="76"/>
      <c r="T27" s="190">
        <f t="shared" si="1"/>
        <v>-6018070</v>
      </c>
      <c r="U27" s="76"/>
      <c r="V27" s="190">
        <f t="shared" si="2"/>
        <v>83525368</v>
      </c>
    </row>
    <row r="28" spans="1:22" s="9" customFormat="1" ht="12.75" customHeight="1">
      <c r="A28" s="74" t="s">
        <v>19</v>
      </c>
      <c r="B28" s="190">
        <f>'(A) Budget Summary'!C29</f>
        <v>51833482</v>
      </c>
      <c r="C28" s="76"/>
      <c r="D28" s="79"/>
      <c r="E28" s="191">
        <v>-2519100</v>
      </c>
      <c r="F28" s="191"/>
      <c r="G28" s="191"/>
      <c r="H28" s="191">
        <v>-294330</v>
      </c>
      <c r="I28" s="191"/>
      <c r="J28" s="192">
        <f t="shared" si="0"/>
        <v>49020052</v>
      </c>
      <c r="K28" s="191"/>
      <c r="L28" s="76"/>
      <c r="M28" s="76"/>
      <c r="N28" s="76"/>
      <c r="O28" s="76">
        <v>-49800</v>
      </c>
      <c r="P28" s="76"/>
      <c r="Q28" s="76"/>
      <c r="R28" s="76"/>
      <c r="S28" s="76"/>
      <c r="T28" s="190">
        <f t="shared" si="1"/>
        <v>-2863230</v>
      </c>
      <c r="U28" s="76"/>
      <c r="V28" s="190">
        <f t="shared" si="2"/>
        <v>48970252</v>
      </c>
    </row>
    <row r="29" spans="1:22" s="9" customFormat="1" ht="12.75" customHeight="1">
      <c r="A29" s="74" t="s">
        <v>20</v>
      </c>
      <c r="B29" s="190">
        <f>'(A) Budget Summary'!C30</f>
        <v>46311423</v>
      </c>
      <c r="C29" s="76"/>
      <c r="D29" s="79"/>
      <c r="E29" s="191">
        <v>-2294700</v>
      </c>
      <c r="F29" s="191"/>
      <c r="G29" s="191"/>
      <c r="H29" s="191">
        <v>-294840</v>
      </c>
      <c r="I29" s="191"/>
      <c r="J29" s="192">
        <f t="shared" si="0"/>
        <v>43721883</v>
      </c>
      <c r="K29" s="191"/>
      <c r="L29" s="76"/>
      <c r="M29" s="76"/>
      <c r="N29" s="76"/>
      <c r="O29" s="76">
        <v>-43700</v>
      </c>
      <c r="P29" s="76"/>
      <c r="Q29" s="76"/>
      <c r="R29" s="76"/>
      <c r="S29" s="76"/>
      <c r="T29" s="190">
        <f t="shared" si="1"/>
        <v>-2633240</v>
      </c>
      <c r="U29" s="76"/>
      <c r="V29" s="190">
        <f t="shared" si="2"/>
        <v>43678183</v>
      </c>
    </row>
    <row r="30" spans="1:22" s="9" customFormat="1" ht="12.75" customHeight="1">
      <c r="A30" s="74" t="s">
        <v>21</v>
      </c>
      <c r="B30" s="190">
        <f>'(A) Budget Summary'!C31</f>
        <v>46552297</v>
      </c>
      <c r="C30" s="76"/>
      <c r="D30" s="79"/>
      <c r="E30" s="191">
        <v>-2059900</v>
      </c>
      <c r="F30" s="191"/>
      <c r="G30" s="191"/>
      <c r="H30" s="191">
        <v>-250350</v>
      </c>
      <c r="I30" s="191"/>
      <c r="J30" s="192">
        <f t="shared" si="0"/>
        <v>44242047</v>
      </c>
      <c r="K30" s="191"/>
      <c r="L30" s="76"/>
      <c r="M30" s="76"/>
      <c r="N30" s="76"/>
      <c r="O30" s="76">
        <v>-43100</v>
      </c>
      <c r="P30" s="76"/>
      <c r="Q30" s="76"/>
      <c r="R30" s="76"/>
      <c r="S30" s="76"/>
      <c r="T30" s="190">
        <f t="shared" si="1"/>
        <v>-2353350</v>
      </c>
      <c r="U30" s="76"/>
      <c r="V30" s="190">
        <f t="shared" si="2"/>
        <v>44198947</v>
      </c>
    </row>
    <row r="31" spans="1:22" s="9" customFormat="1" ht="7.5" customHeight="1">
      <c r="A31" s="74"/>
      <c r="B31" s="190"/>
      <c r="C31" s="76"/>
      <c r="D31" s="79"/>
      <c r="E31" s="79"/>
      <c r="F31" s="79"/>
      <c r="G31" s="79"/>
      <c r="H31" s="79"/>
      <c r="I31" s="79"/>
      <c r="J31" s="190"/>
      <c r="K31" s="79"/>
      <c r="L31" s="76"/>
      <c r="M31" s="76"/>
      <c r="N31" s="76"/>
      <c r="O31" s="76"/>
      <c r="P31" s="76"/>
      <c r="Q31" s="76"/>
      <c r="R31" s="76"/>
      <c r="S31" s="76"/>
      <c r="T31" s="190"/>
      <c r="U31" s="76"/>
      <c r="V31" s="190"/>
    </row>
    <row r="32" spans="1:22" s="13" customFormat="1" ht="15">
      <c r="A32" s="194" t="s">
        <v>22</v>
      </c>
      <c r="B32" s="195">
        <f>SUM(B8:B30)</f>
        <v>1872388736.1599998</v>
      </c>
      <c r="C32" s="196"/>
      <c r="D32" s="196"/>
      <c r="E32" s="196">
        <f>SUM(E8:E31)</f>
        <v>-100000000</v>
      </c>
      <c r="F32" s="196"/>
      <c r="G32" s="196"/>
      <c r="H32" s="196">
        <f>SUM(H8:H31)</f>
        <v>-12118070</v>
      </c>
      <c r="I32" s="196"/>
      <c r="J32" s="195">
        <f>SUM(J8:J31)</f>
        <v>1760270666.1599998</v>
      </c>
      <c r="K32" s="196"/>
      <c r="L32" s="196">
        <f>SUM(L8:L30)</f>
        <v>3229505</v>
      </c>
      <c r="M32" s="196"/>
      <c r="N32" s="196"/>
      <c r="O32" s="196">
        <f>SUM(O8:O30)</f>
        <v>-2217000</v>
      </c>
      <c r="P32" s="196"/>
      <c r="Q32" s="196">
        <f>SUM(Q8:Q31)</f>
        <v>0</v>
      </c>
      <c r="R32" s="196"/>
      <c r="S32" s="196"/>
      <c r="T32" s="195">
        <f>SUM(T8:T31)</f>
        <v>-111105565</v>
      </c>
      <c r="U32" s="196"/>
      <c r="V32" s="195">
        <f>SUM(V8:V31)</f>
        <v>1761283171.1599998</v>
      </c>
    </row>
    <row r="33" spans="1:22" s="9" customFormat="1" ht="9" customHeight="1">
      <c r="A33" s="74"/>
      <c r="B33" s="190"/>
      <c r="C33" s="76"/>
      <c r="D33" s="79"/>
      <c r="E33" s="79"/>
      <c r="F33" s="79"/>
      <c r="G33" s="79"/>
      <c r="H33" s="79"/>
      <c r="I33" s="79"/>
      <c r="J33" s="190"/>
      <c r="K33" s="79"/>
      <c r="L33" s="76"/>
      <c r="M33" s="76"/>
      <c r="N33" s="76"/>
      <c r="O33" s="76"/>
      <c r="P33" s="76"/>
      <c r="Q33" s="76"/>
      <c r="R33" s="76"/>
      <c r="S33" s="76"/>
      <c r="T33" s="190"/>
      <c r="U33" s="76"/>
      <c r="V33" s="190"/>
    </row>
    <row r="34" spans="1:22" s="9" customFormat="1" ht="12.75" customHeight="1">
      <c r="A34" s="74" t="s">
        <v>23</v>
      </c>
      <c r="B34" s="190">
        <f>'(A) Budget Summary'!C35</f>
        <v>64433802</v>
      </c>
      <c r="C34" s="76"/>
      <c r="D34" s="79"/>
      <c r="E34" s="191">
        <v>0</v>
      </c>
      <c r="F34" s="191"/>
      <c r="G34" s="191"/>
      <c r="H34" s="387">
        <v>-220113</v>
      </c>
      <c r="I34" s="191"/>
      <c r="J34" s="192">
        <f>B34+E34+H34</f>
        <v>64213689</v>
      </c>
      <c r="K34" s="191"/>
      <c r="L34" s="76">
        <f>-23123</f>
        <v>-23123</v>
      </c>
      <c r="M34" s="76"/>
      <c r="N34" s="76"/>
      <c r="O34" s="76">
        <v>0</v>
      </c>
      <c r="P34" s="76"/>
      <c r="Q34" s="76" t="e">
        <f>ROUND((#REF!*7305)/100,0)*100</f>
        <v>#REF!</v>
      </c>
      <c r="R34" s="76"/>
      <c r="S34" s="76"/>
      <c r="T34" s="190">
        <f aca="true" t="shared" si="3" ref="T34:T39">E34+H34+L34+O34</f>
        <v>-243236</v>
      </c>
      <c r="U34" s="76"/>
      <c r="V34" s="190">
        <f aca="true" t="shared" si="4" ref="V34:V39">B34+T34</f>
        <v>64190566</v>
      </c>
    </row>
    <row r="35" spans="1:22" s="9" customFormat="1" ht="12.75" customHeight="1">
      <c r="A35" s="74" t="s">
        <v>29</v>
      </c>
      <c r="B35" s="190">
        <f>'(A) Budget Summary'!C36</f>
        <v>981735</v>
      </c>
      <c r="C35" s="76"/>
      <c r="D35" s="79"/>
      <c r="E35" s="191">
        <v>0</v>
      </c>
      <c r="F35" s="191"/>
      <c r="G35" s="74"/>
      <c r="H35" s="191">
        <v>0</v>
      </c>
      <c r="I35" s="74"/>
      <c r="J35" s="192">
        <f>B35+E35+H35</f>
        <v>981735</v>
      </c>
      <c r="K35" s="74"/>
      <c r="L35" s="76">
        <v>0</v>
      </c>
      <c r="M35" s="76"/>
      <c r="N35" s="76"/>
      <c r="O35" s="76">
        <v>0</v>
      </c>
      <c r="P35" s="76"/>
      <c r="Q35" s="76"/>
      <c r="R35" s="76"/>
      <c r="S35" s="76"/>
      <c r="T35" s="190">
        <f t="shared" si="3"/>
        <v>0</v>
      </c>
      <c r="U35" s="76"/>
      <c r="V35" s="190">
        <f t="shared" si="4"/>
        <v>981735</v>
      </c>
    </row>
    <row r="36" spans="1:22" s="9" customFormat="1" ht="12.75" customHeight="1">
      <c r="A36" s="74" t="s">
        <v>24</v>
      </c>
      <c r="B36" s="190">
        <f>'(A) Budget Summary'!C37</f>
        <v>2269496</v>
      </c>
      <c r="C36" s="76"/>
      <c r="D36" s="79"/>
      <c r="E36" s="191">
        <v>0</v>
      </c>
      <c r="F36" s="191"/>
      <c r="G36" s="74"/>
      <c r="H36" s="191">
        <v>0</v>
      </c>
      <c r="I36" s="74"/>
      <c r="J36" s="192">
        <f>B36+E36+H36</f>
        <v>2269496</v>
      </c>
      <c r="K36" s="74"/>
      <c r="L36" s="76">
        <f>23123</f>
        <v>23123</v>
      </c>
      <c r="M36" s="76"/>
      <c r="N36" s="76"/>
      <c r="O36" s="76">
        <v>0</v>
      </c>
      <c r="P36" s="76"/>
      <c r="Q36" s="76"/>
      <c r="R36" s="76"/>
      <c r="S36" s="76"/>
      <c r="T36" s="190">
        <f t="shared" si="3"/>
        <v>23123</v>
      </c>
      <c r="U36" s="76"/>
      <c r="V36" s="190">
        <f t="shared" si="4"/>
        <v>2292619</v>
      </c>
    </row>
    <row r="37" spans="1:22" s="9" customFormat="1" ht="12.75" customHeight="1">
      <c r="A37" s="74" t="s">
        <v>25</v>
      </c>
      <c r="B37" s="190">
        <f>'(A) Budget Summary'!C38</f>
        <v>57800</v>
      </c>
      <c r="C37" s="76"/>
      <c r="D37" s="79"/>
      <c r="E37" s="191">
        <v>0</v>
      </c>
      <c r="F37" s="191"/>
      <c r="G37" s="74"/>
      <c r="H37" s="191">
        <v>0</v>
      </c>
      <c r="I37" s="74"/>
      <c r="J37" s="192">
        <f>B37+E37+H37</f>
        <v>57800</v>
      </c>
      <c r="K37" s="74"/>
      <c r="L37" s="76">
        <v>0</v>
      </c>
      <c r="M37" s="76"/>
      <c r="N37" s="76"/>
      <c r="O37" s="76">
        <v>0</v>
      </c>
      <c r="P37" s="76"/>
      <c r="Q37" s="76" t="e">
        <f>ROUND((#REF!*7305)/100,0)*100</f>
        <v>#REF!</v>
      </c>
      <c r="R37" s="76"/>
      <c r="S37" s="76"/>
      <c r="T37" s="190">
        <f t="shared" si="3"/>
        <v>0</v>
      </c>
      <c r="U37" s="76"/>
      <c r="V37" s="190">
        <f t="shared" si="4"/>
        <v>57800</v>
      </c>
    </row>
    <row r="38" spans="1:22" s="9" customFormat="1" ht="12.75" customHeight="1">
      <c r="A38" s="74" t="s">
        <v>26</v>
      </c>
      <c r="B38" s="190">
        <f>'(A) Budget Summary'!C39</f>
        <v>201141431</v>
      </c>
      <c r="C38" s="76"/>
      <c r="D38" s="79"/>
      <c r="E38" s="191">
        <v>0</v>
      </c>
      <c r="F38" s="191"/>
      <c r="G38" s="191"/>
      <c r="H38" s="191">
        <f>-26182880+63</f>
        <v>-26182817</v>
      </c>
      <c r="I38" s="191"/>
      <c r="J38" s="192">
        <f>B38+E38+H38</f>
        <v>174958614</v>
      </c>
      <c r="K38" s="191"/>
      <c r="L38" s="76">
        <f>-50000+5545000+1096000-1648100-724700-856705</f>
        <v>3361495</v>
      </c>
      <c r="M38" s="250">
        <v>2</v>
      </c>
      <c r="N38" s="197"/>
      <c r="O38" s="76">
        <f>2217000+1309000</f>
        <v>3526000</v>
      </c>
      <c r="P38" s="76"/>
      <c r="Q38" s="76"/>
      <c r="R38" s="76"/>
      <c r="S38" s="76"/>
      <c r="T38" s="190">
        <f t="shared" si="3"/>
        <v>-19295322</v>
      </c>
      <c r="U38" s="76"/>
      <c r="V38" s="190">
        <f t="shared" si="4"/>
        <v>181846109</v>
      </c>
    </row>
    <row r="39" spans="1:22" s="9" customFormat="1" ht="12.75" customHeight="1">
      <c r="A39" s="74" t="s">
        <v>77</v>
      </c>
      <c r="B39" s="190">
        <f>'(A) Budget Summary'!C40</f>
        <v>0</v>
      </c>
      <c r="C39" s="76"/>
      <c r="D39" s="79"/>
      <c r="E39" s="191">
        <v>0</v>
      </c>
      <c r="F39" s="191"/>
      <c r="G39" s="191"/>
      <c r="H39" s="191">
        <v>0</v>
      </c>
      <c r="I39" s="191"/>
      <c r="J39" s="192">
        <f>B39+E39+H39</f>
        <v>0</v>
      </c>
      <c r="K39" s="191"/>
      <c r="L39" s="76">
        <v>0</v>
      </c>
      <c r="M39" s="250"/>
      <c r="N39" s="197"/>
      <c r="O39" s="76">
        <v>0</v>
      </c>
      <c r="P39" s="76"/>
      <c r="Q39" s="76"/>
      <c r="R39" s="76"/>
      <c r="S39" s="76"/>
      <c r="T39" s="190">
        <f t="shared" si="3"/>
        <v>0</v>
      </c>
      <c r="U39" s="76"/>
      <c r="V39" s="190">
        <f t="shared" si="4"/>
        <v>0</v>
      </c>
    </row>
    <row r="40" spans="1:22" s="9" customFormat="1" ht="9" customHeight="1">
      <c r="A40" s="74"/>
      <c r="B40" s="190"/>
      <c r="C40" s="76"/>
      <c r="D40" s="79"/>
      <c r="E40" s="79"/>
      <c r="F40" s="79"/>
      <c r="G40" s="79"/>
      <c r="H40" s="79"/>
      <c r="I40" s="79"/>
      <c r="J40" s="190"/>
      <c r="K40" s="79"/>
      <c r="L40" s="76"/>
      <c r="M40" s="76"/>
      <c r="N40" s="76"/>
      <c r="O40" s="76"/>
      <c r="P40" s="76"/>
      <c r="Q40" s="76"/>
      <c r="R40" s="76"/>
      <c r="S40" s="76"/>
      <c r="T40" s="190"/>
      <c r="U40" s="76"/>
      <c r="V40" s="190"/>
    </row>
    <row r="41" spans="1:22" s="13" customFormat="1" ht="15.75" thickBot="1">
      <c r="A41" s="198" t="s">
        <v>27</v>
      </c>
      <c r="B41" s="199">
        <f>SUM(B32:B38)</f>
        <v>2141273000.1599998</v>
      </c>
      <c r="C41" s="200"/>
      <c r="D41" s="200"/>
      <c r="E41" s="200">
        <f>SUM(E32:E38)</f>
        <v>-100000000</v>
      </c>
      <c r="F41" s="200"/>
      <c r="G41" s="200"/>
      <c r="H41" s="200">
        <f>SUM(H32:H38)</f>
        <v>-38521000</v>
      </c>
      <c r="I41" s="200"/>
      <c r="J41" s="199">
        <f>SUM(J32:J38)</f>
        <v>2002752000.1599998</v>
      </c>
      <c r="K41" s="200"/>
      <c r="L41" s="200">
        <f>SUM(L32:L39)</f>
        <v>6591000</v>
      </c>
      <c r="M41" s="200"/>
      <c r="N41" s="200"/>
      <c r="O41" s="200">
        <f>SUM(O32:O38)</f>
        <v>1309000</v>
      </c>
      <c r="P41" s="200"/>
      <c r="Q41" s="200" t="e">
        <f>Q32+Q34+Q35+Q36+Q37+Q38</f>
        <v>#REF!</v>
      </c>
      <c r="R41" s="200"/>
      <c r="S41" s="200"/>
      <c r="T41" s="199">
        <f>SUM(T32:T39)</f>
        <v>-130621000</v>
      </c>
      <c r="U41" s="200"/>
      <c r="V41" s="199">
        <f>SUM(V32:V39)</f>
        <v>2010652000.1599998</v>
      </c>
    </row>
    <row r="42" spans="19:22" ht="12.75">
      <c r="S42" s="80"/>
      <c r="T42" s="80"/>
      <c r="U42" s="80"/>
      <c r="V42" s="80"/>
    </row>
    <row r="43" spans="1:22" s="98" customFormat="1" ht="30" customHeight="1">
      <c r="A43" s="424" t="s">
        <v>90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</row>
    <row r="44" spans="1:22" s="98" customFormat="1" ht="15" customHeight="1">
      <c r="A44" s="422" t="s">
        <v>186</v>
      </c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</row>
    <row r="45" spans="1:27" ht="15" customHeight="1">
      <c r="A45" s="425" t="s">
        <v>187</v>
      </c>
      <c r="B45" s="425"/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1"/>
      <c r="X45" s="421"/>
      <c r="Y45" s="421"/>
      <c r="Z45" s="362"/>
      <c r="AA45" s="362"/>
    </row>
  </sheetData>
  <sheetProtection/>
  <mergeCells count="6">
    <mergeCell ref="W45:Y45"/>
    <mergeCell ref="A44:V44"/>
    <mergeCell ref="N5:P5"/>
    <mergeCell ref="A43:V43"/>
    <mergeCell ref="A45:V45"/>
    <mergeCell ref="D5:F5"/>
  </mergeCells>
  <printOptions/>
  <pageMargins left="0.5" right="0.25" top="0.25" bottom="0.25" header="0.5" footer="0.5"/>
  <pageSetup fitToHeight="1" fitToWidth="1" horizontalDpi="600" verticalDpi="600" orientation="landscape" paperSize="5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5" sqref="G45"/>
    </sheetView>
  </sheetViews>
  <sheetFormatPr defaultColWidth="10.83203125" defaultRowHeight="12.75"/>
  <cols>
    <col min="1" max="1" width="26.83203125" style="164" customWidth="1"/>
    <col min="2" max="2" width="2.83203125" style="164" customWidth="1"/>
    <col min="3" max="3" width="16.83203125" style="164" customWidth="1"/>
    <col min="4" max="4" width="2.66015625" style="164" customWidth="1"/>
    <col min="5" max="5" width="6.83203125" style="164" customWidth="1"/>
    <col min="6" max="6" width="2.83203125" style="164" customWidth="1"/>
    <col min="7" max="7" width="16.33203125" style="164" customWidth="1"/>
    <col min="8" max="8" width="2.66015625" style="164" customWidth="1"/>
    <col min="9" max="9" width="6.83203125" style="164" customWidth="1"/>
    <col min="10" max="10" width="18.83203125" style="167" customWidth="1"/>
    <col min="11" max="11" width="25.83203125" style="167" customWidth="1"/>
    <col min="12" max="12" width="8.83203125" style="164" customWidth="1"/>
    <col min="13" max="13" width="11.83203125" style="164" customWidth="1"/>
    <col min="14" max="16" width="10.83203125" style="164" customWidth="1"/>
    <col min="17" max="17" width="11.83203125" style="164" customWidth="1"/>
    <col min="18" max="16384" width="10.83203125" style="164" customWidth="1"/>
  </cols>
  <sheetData>
    <row r="1" spans="1:15" ht="18.75">
      <c r="A1" s="163" t="s">
        <v>160</v>
      </c>
      <c r="B1" s="163"/>
      <c r="C1" s="163"/>
      <c r="D1" s="163"/>
      <c r="E1" s="163"/>
      <c r="F1" s="165"/>
      <c r="G1" s="165"/>
      <c r="H1" s="165"/>
      <c r="I1" s="166"/>
      <c r="M1" s="1" t="s">
        <v>78</v>
      </c>
      <c r="N1" s="168"/>
      <c r="O1" s="168"/>
    </row>
    <row r="2" spans="6:17" ht="7.5" customHeight="1">
      <c r="F2" s="166"/>
      <c r="G2" s="166"/>
      <c r="H2" s="166"/>
      <c r="I2" s="166"/>
      <c r="M2" s="168"/>
      <c r="N2" s="74"/>
      <c r="O2" s="74"/>
      <c r="P2" s="74"/>
      <c r="Q2" s="74"/>
    </row>
    <row r="3" spans="3:17" s="170" customFormat="1" ht="15.75" customHeight="1">
      <c r="C3" s="170">
        <v>-1</v>
      </c>
      <c r="F3" s="171"/>
      <c r="G3" s="111">
        <v>-2</v>
      </c>
      <c r="H3" s="111"/>
      <c r="I3" s="171"/>
      <c r="J3" s="297">
        <v>-3</v>
      </c>
      <c r="K3" s="172"/>
      <c r="M3" s="97" t="s">
        <v>57</v>
      </c>
      <c r="N3" s="97" t="s">
        <v>62</v>
      </c>
      <c r="O3" s="97" t="s">
        <v>63</v>
      </c>
      <c r="P3" s="96"/>
      <c r="Q3" s="96"/>
    </row>
    <row r="4" spans="1:17" ht="15.75">
      <c r="A4" s="173"/>
      <c r="B4" s="173"/>
      <c r="C4" s="173"/>
      <c r="D4" s="173"/>
      <c r="E4" s="173"/>
      <c r="F4" s="171"/>
      <c r="G4" s="169"/>
      <c r="H4" s="169"/>
      <c r="I4" s="169"/>
      <c r="J4" s="169"/>
      <c r="K4" s="169"/>
      <c r="M4" s="426" t="s">
        <v>94</v>
      </c>
      <c r="N4" s="426"/>
      <c r="O4" s="426"/>
      <c r="P4" s="99"/>
      <c r="Q4" s="99"/>
    </row>
    <row r="5" spans="2:17" s="231" customFormat="1" ht="78.75">
      <c r="B5" s="430" t="s">
        <v>142</v>
      </c>
      <c r="C5" s="430"/>
      <c r="D5" s="430"/>
      <c r="E5" s="286"/>
      <c r="F5" s="290"/>
      <c r="G5" s="318" t="s">
        <v>156</v>
      </c>
      <c r="H5" s="319">
        <v>1</v>
      </c>
      <c r="I5" s="234"/>
      <c r="J5" s="233" t="s">
        <v>143</v>
      </c>
      <c r="K5" s="235"/>
      <c r="M5" s="236" t="s">
        <v>31</v>
      </c>
      <c r="N5" s="237" t="s">
        <v>30</v>
      </c>
      <c r="O5" s="237" t="s">
        <v>81</v>
      </c>
      <c r="P5" s="237"/>
      <c r="Q5" s="238" t="s">
        <v>76</v>
      </c>
    </row>
    <row r="6" spans="3:17" s="174" customFormat="1" ht="22.5" customHeight="1">
      <c r="C6" s="355" t="s">
        <v>89</v>
      </c>
      <c r="D6" s="355"/>
      <c r="E6" s="355"/>
      <c r="F6" s="429" t="s">
        <v>100</v>
      </c>
      <c r="G6" s="429"/>
      <c r="H6" s="429"/>
      <c r="I6" s="175"/>
      <c r="J6" s="283" t="s">
        <v>116</v>
      </c>
      <c r="K6" s="184"/>
      <c r="M6" s="94"/>
      <c r="N6" s="84"/>
      <c r="O6" s="84"/>
      <c r="P6" s="84"/>
      <c r="Q6" s="82" t="s">
        <v>64</v>
      </c>
    </row>
    <row r="7" spans="1:17" ht="9" customHeight="1">
      <c r="A7" s="173"/>
      <c r="B7" s="173"/>
      <c r="C7" s="287"/>
      <c r="D7" s="287"/>
      <c r="E7" s="287"/>
      <c r="F7" s="291"/>
      <c r="G7" s="176"/>
      <c r="H7" s="176"/>
      <c r="I7" s="176"/>
      <c r="J7" s="177"/>
      <c r="K7" s="176"/>
      <c r="M7" s="95"/>
      <c r="N7" s="68"/>
      <c r="O7" s="68"/>
      <c r="P7" s="68"/>
      <c r="Q7" s="81"/>
    </row>
    <row r="8" spans="1:17" s="178" customFormat="1" ht="12.75" customHeight="1">
      <c r="A8" s="201" t="s">
        <v>0</v>
      </c>
      <c r="B8" s="201"/>
      <c r="C8" s="288">
        <f>'(B) Base Bud Adj'!V8</f>
        <v>46376509</v>
      </c>
      <c r="D8" s="288"/>
      <c r="E8" s="288"/>
      <c r="F8" s="292"/>
      <c r="G8" s="388">
        <v>-4265250</v>
      </c>
      <c r="H8" s="388"/>
      <c r="I8" s="202"/>
      <c r="J8" s="203">
        <f aca="true" t="shared" si="0" ref="J8:J30">C8+G8</f>
        <v>42111259</v>
      </c>
      <c r="K8" s="298"/>
      <c r="M8" s="205">
        <v>316000</v>
      </c>
      <c r="N8" s="206">
        <f>92000+1000</f>
        <v>93000</v>
      </c>
      <c r="O8" s="206">
        <v>0</v>
      </c>
      <c r="P8" s="206"/>
      <c r="Q8" s="207">
        <f aca="true" t="shared" si="1" ref="Q8:Q30">SUM(M8:P8)</f>
        <v>409000</v>
      </c>
    </row>
    <row r="9" spans="1:17" ht="12.75" customHeight="1">
      <c r="A9" s="208" t="s">
        <v>1</v>
      </c>
      <c r="B9" s="208"/>
      <c r="C9" s="219">
        <f>'(B) Base Bud Adj'!V9</f>
        <v>43900810</v>
      </c>
      <c r="D9" s="219"/>
      <c r="E9" s="219"/>
      <c r="F9" s="293"/>
      <c r="G9" s="389">
        <v>-1000000</v>
      </c>
      <c r="H9" s="389"/>
      <c r="I9" s="209"/>
      <c r="J9" s="210">
        <f t="shared" si="0"/>
        <v>42900810</v>
      </c>
      <c r="K9" s="298"/>
      <c r="M9" s="212">
        <v>257000</v>
      </c>
      <c r="N9" s="213">
        <v>80000</v>
      </c>
      <c r="O9" s="213">
        <v>747000</v>
      </c>
      <c r="P9" s="213"/>
      <c r="Q9" s="214">
        <f t="shared" si="1"/>
        <v>1084000</v>
      </c>
    </row>
    <row r="10" spans="1:17" ht="12.75" customHeight="1">
      <c r="A10" s="208" t="s">
        <v>2</v>
      </c>
      <c r="B10" s="208"/>
      <c r="C10" s="219">
        <f>'(B) Base Bud Adj'!V10</f>
        <v>76668632</v>
      </c>
      <c r="D10" s="219"/>
      <c r="E10" s="219"/>
      <c r="F10" s="293"/>
      <c r="G10" s="389">
        <v>-10128750</v>
      </c>
      <c r="H10" s="389"/>
      <c r="I10" s="209"/>
      <c r="J10" s="210">
        <f t="shared" si="0"/>
        <v>66539882</v>
      </c>
      <c r="K10" s="298"/>
      <c r="M10" s="212">
        <v>690000</v>
      </c>
      <c r="N10" s="213">
        <v>197000</v>
      </c>
      <c r="O10" s="213">
        <v>58000</v>
      </c>
      <c r="P10" s="213"/>
      <c r="Q10" s="214">
        <f t="shared" si="1"/>
        <v>945000</v>
      </c>
    </row>
    <row r="11" spans="1:17" ht="12.75" customHeight="1">
      <c r="A11" s="208" t="s">
        <v>3</v>
      </c>
      <c r="B11" s="208"/>
      <c r="C11" s="219">
        <f>'(B) Base Bud Adj'!V11</f>
        <v>56719852</v>
      </c>
      <c r="D11" s="219"/>
      <c r="E11" s="219"/>
      <c r="F11" s="293"/>
      <c r="G11" s="389">
        <v>-5792000</v>
      </c>
      <c r="H11" s="389"/>
      <c r="I11" s="209"/>
      <c r="J11" s="210">
        <f t="shared" si="0"/>
        <v>50927852</v>
      </c>
      <c r="K11" s="298"/>
      <c r="M11" s="212">
        <v>383000</v>
      </c>
      <c r="N11" s="213">
        <v>113000</v>
      </c>
      <c r="O11" s="213">
        <v>0</v>
      </c>
      <c r="P11" s="213"/>
      <c r="Q11" s="214">
        <f t="shared" si="1"/>
        <v>496000</v>
      </c>
    </row>
    <row r="12" spans="1:17" ht="12.75" customHeight="1">
      <c r="A12" s="208" t="s">
        <v>28</v>
      </c>
      <c r="B12" s="208"/>
      <c r="C12" s="219">
        <f>'(B) Base Bud Adj'!V12</f>
        <v>59733961</v>
      </c>
      <c r="D12" s="219"/>
      <c r="E12" s="219"/>
      <c r="F12" s="293"/>
      <c r="G12" s="389">
        <v>-8905000</v>
      </c>
      <c r="H12" s="389"/>
      <c r="I12" s="209"/>
      <c r="J12" s="210">
        <f t="shared" si="0"/>
        <v>50828961</v>
      </c>
      <c r="K12" s="298"/>
      <c r="M12" s="212">
        <v>460000</v>
      </c>
      <c r="N12" s="213">
        <v>157000</v>
      </c>
      <c r="O12" s="213">
        <v>0</v>
      </c>
      <c r="P12" s="213"/>
      <c r="Q12" s="214">
        <f t="shared" si="1"/>
        <v>617000</v>
      </c>
    </row>
    <row r="13" spans="1:17" ht="12.75" customHeight="1">
      <c r="A13" s="208" t="s">
        <v>4</v>
      </c>
      <c r="B13" s="208"/>
      <c r="C13" s="219">
        <f>'(B) Base Bud Adj'!V13</f>
        <v>100107432</v>
      </c>
      <c r="D13" s="219"/>
      <c r="E13" s="219"/>
      <c r="F13" s="293"/>
      <c r="G13" s="389">
        <v>-13014500</v>
      </c>
      <c r="H13" s="389"/>
      <c r="I13" s="209"/>
      <c r="J13" s="210">
        <f t="shared" si="0"/>
        <v>87092932</v>
      </c>
      <c r="K13" s="298"/>
      <c r="M13" s="212">
        <v>777000</v>
      </c>
      <c r="N13" s="213">
        <v>228000</v>
      </c>
      <c r="O13" s="213">
        <v>0</v>
      </c>
      <c r="P13" s="213"/>
      <c r="Q13" s="214">
        <f t="shared" si="1"/>
        <v>1005000</v>
      </c>
    </row>
    <row r="14" spans="1:17" ht="12.75" customHeight="1">
      <c r="A14" s="208" t="s">
        <v>5</v>
      </c>
      <c r="B14" s="208"/>
      <c r="C14" s="219">
        <f>'(B) Base Bud Adj'!V14</f>
        <v>107607561</v>
      </c>
      <c r="D14" s="219"/>
      <c r="E14" s="219"/>
      <c r="F14" s="293"/>
      <c r="G14" s="389">
        <v>-19856250</v>
      </c>
      <c r="H14" s="389"/>
      <c r="I14" s="209"/>
      <c r="J14" s="210">
        <f t="shared" si="0"/>
        <v>87751311</v>
      </c>
      <c r="K14" s="298"/>
      <c r="M14" s="212">
        <v>1058000</v>
      </c>
      <c r="N14" s="213">
        <v>306000</v>
      </c>
      <c r="O14" s="213">
        <v>0</v>
      </c>
      <c r="P14" s="213"/>
      <c r="Q14" s="214">
        <f t="shared" si="1"/>
        <v>1364000</v>
      </c>
    </row>
    <row r="15" spans="1:17" ht="12.75" customHeight="1">
      <c r="A15" s="208" t="s">
        <v>6</v>
      </c>
      <c r="B15" s="208"/>
      <c r="C15" s="219">
        <f>'(B) Base Bud Adj'!V15</f>
        <v>56556610</v>
      </c>
      <c r="D15" s="219"/>
      <c r="E15" s="219"/>
      <c r="F15" s="293"/>
      <c r="G15" s="389">
        <v>-5779000</v>
      </c>
      <c r="H15" s="389"/>
      <c r="I15" s="209"/>
      <c r="J15" s="210">
        <f t="shared" si="0"/>
        <v>50777610</v>
      </c>
      <c r="K15" s="298"/>
      <c r="M15" s="212">
        <v>410000</v>
      </c>
      <c r="N15" s="213">
        <v>147000</v>
      </c>
      <c r="O15" s="213">
        <v>0</v>
      </c>
      <c r="P15" s="213"/>
      <c r="Q15" s="214">
        <f t="shared" si="1"/>
        <v>557000</v>
      </c>
    </row>
    <row r="16" spans="1:17" ht="12.75" customHeight="1">
      <c r="A16" s="208" t="s">
        <v>7</v>
      </c>
      <c r="B16" s="208"/>
      <c r="C16" s="219">
        <f>'(B) Base Bud Adj'!V16</f>
        <v>122542136.16</v>
      </c>
      <c r="D16" s="219"/>
      <c r="E16" s="219"/>
      <c r="F16" s="293"/>
      <c r="G16" s="389">
        <v>-20807250</v>
      </c>
      <c r="H16" s="389"/>
      <c r="I16" s="209"/>
      <c r="J16" s="210">
        <f t="shared" si="0"/>
        <v>101734886.16</v>
      </c>
      <c r="K16" s="298"/>
      <c r="M16" s="212">
        <v>1121000</v>
      </c>
      <c r="N16" s="213">
        <v>329000</v>
      </c>
      <c r="O16" s="213">
        <v>0</v>
      </c>
      <c r="P16" s="213"/>
      <c r="Q16" s="214">
        <f t="shared" si="1"/>
        <v>1450000</v>
      </c>
    </row>
    <row r="17" spans="1:17" ht="12.75" customHeight="1">
      <c r="A17" s="208" t="s">
        <v>8</v>
      </c>
      <c r="B17" s="208"/>
      <c r="C17" s="219">
        <f>'(B) Base Bud Adj'!V17</f>
        <v>91419639</v>
      </c>
      <c r="D17" s="219"/>
      <c r="E17" s="219"/>
      <c r="F17" s="293"/>
      <c r="G17" s="389">
        <v>-11866500</v>
      </c>
      <c r="H17" s="389"/>
      <c r="I17" s="209"/>
      <c r="J17" s="210">
        <f t="shared" si="0"/>
        <v>79553139</v>
      </c>
      <c r="K17" s="298"/>
      <c r="M17" s="212">
        <v>637000</v>
      </c>
      <c r="N17" s="213">
        <v>254000</v>
      </c>
      <c r="O17" s="213">
        <v>0</v>
      </c>
      <c r="P17" s="213"/>
      <c r="Q17" s="214">
        <f t="shared" si="1"/>
        <v>891000</v>
      </c>
    </row>
    <row r="18" spans="1:17" ht="12.75" customHeight="1">
      <c r="A18" s="208" t="s">
        <v>9</v>
      </c>
      <c r="B18" s="208"/>
      <c r="C18" s="219">
        <f>'(B) Base Bud Adj'!V18</f>
        <v>21882876</v>
      </c>
      <c r="D18" s="219"/>
      <c r="E18" s="219"/>
      <c r="F18" s="293"/>
      <c r="G18" s="389">
        <v>-750000</v>
      </c>
      <c r="H18" s="389"/>
      <c r="I18" s="209"/>
      <c r="J18" s="210">
        <f t="shared" si="0"/>
        <v>21132876</v>
      </c>
      <c r="K18" s="298"/>
      <c r="M18" s="212">
        <v>87000</v>
      </c>
      <c r="N18" s="213">
        <v>45000</v>
      </c>
      <c r="O18" s="213">
        <v>0</v>
      </c>
      <c r="P18" s="213"/>
      <c r="Q18" s="214">
        <f t="shared" si="1"/>
        <v>132000</v>
      </c>
    </row>
    <row r="19" spans="1:17" ht="12.75" customHeight="1">
      <c r="A19" s="208" t="s">
        <v>10</v>
      </c>
      <c r="B19" s="208"/>
      <c r="C19" s="219">
        <f>'(B) Base Bud Adj'!V19</f>
        <v>49246283</v>
      </c>
      <c r="D19" s="219"/>
      <c r="E19" s="219"/>
      <c r="F19" s="293"/>
      <c r="G19" s="389">
        <v>-3681250</v>
      </c>
      <c r="H19" s="389"/>
      <c r="I19" s="209"/>
      <c r="J19" s="210">
        <f t="shared" si="0"/>
        <v>45565033</v>
      </c>
      <c r="K19" s="298"/>
      <c r="M19" s="212">
        <v>258000</v>
      </c>
      <c r="N19" s="213">
        <v>78000</v>
      </c>
      <c r="O19" s="213">
        <v>0</v>
      </c>
      <c r="P19" s="213"/>
      <c r="Q19" s="214">
        <f t="shared" si="1"/>
        <v>336000</v>
      </c>
    </row>
    <row r="20" spans="1:17" ht="12.75" customHeight="1">
      <c r="A20" s="208" t="s">
        <v>11</v>
      </c>
      <c r="B20" s="208"/>
      <c r="C20" s="219">
        <f>'(B) Base Bud Adj'!V20</f>
        <v>122379896</v>
      </c>
      <c r="D20" s="219"/>
      <c r="E20" s="219"/>
      <c r="F20" s="293"/>
      <c r="G20" s="389">
        <v>-20762500</v>
      </c>
      <c r="H20" s="389"/>
      <c r="I20" s="209"/>
      <c r="J20" s="210">
        <f t="shared" si="0"/>
        <v>101617396</v>
      </c>
      <c r="K20" s="298"/>
      <c r="M20" s="212">
        <v>1066000</v>
      </c>
      <c r="N20" s="213">
        <v>307000</v>
      </c>
      <c r="O20" s="213">
        <v>0</v>
      </c>
      <c r="P20" s="213"/>
      <c r="Q20" s="214">
        <f t="shared" si="1"/>
        <v>1373000</v>
      </c>
    </row>
    <row r="21" spans="1:17" ht="12.75" customHeight="1">
      <c r="A21" s="208" t="s">
        <v>12</v>
      </c>
      <c r="B21" s="208"/>
      <c r="C21" s="219">
        <f>'(B) Base Bud Adj'!V21</f>
        <v>90984042</v>
      </c>
      <c r="D21" s="219"/>
      <c r="E21" s="219"/>
      <c r="F21" s="293"/>
      <c r="G21" s="389">
        <v>-12003000</v>
      </c>
      <c r="H21" s="389"/>
      <c r="I21" s="209"/>
      <c r="J21" s="210">
        <f t="shared" si="0"/>
        <v>78981042</v>
      </c>
      <c r="K21" s="298"/>
      <c r="M21" s="212">
        <v>742000</v>
      </c>
      <c r="N21" s="213">
        <v>246000</v>
      </c>
      <c r="O21" s="213">
        <v>0</v>
      </c>
      <c r="P21" s="213"/>
      <c r="Q21" s="214">
        <f t="shared" si="1"/>
        <v>988000</v>
      </c>
    </row>
    <row r="22" spans="1:17" ht="12.75" customHeight="1">
      <c r="A22" s="208" t="s">
        <v>13</v>
      </c>
      <c r="B22" s="208"/>
      <c r="C22" s="219">
        <f>'(B) Base Bud Adj'!V22</f>
        <v>100702437</v>
      </c>
      <c r="D22" s="219"/>
      <c r="E22" s="219"/>
      <c r="F22" s="293"/>
      <c r="G22" s="389">
        <v>-15499000</v>
      </c>
      <c r="H22" s="389"/>
      <c r="I22" s="209"/>
      <c r="J22" s="210">
        <f t="shared" si="0"/>
        <v>85203437</v>
      </c>
      <c r="K22" s="298"/>
      <c r="M22" s="212">
        <v>895000</v>
      </c>
      <c r="N22" s="213">
        <v>242000</v>
      </c>
      <c r="O22" s="213">
        <v>0</v>
      </c>
      <c r="P22" s="213"/>
      <c r="Q22" s="214">
        <f t="shared" si="1"/>
        <v>1137000</v>
      </c>
    </row>
    <row r="23" spans="1:17" ht="12.75" customHeight="1">
      <c r="A23" s="208" t="s">
        <v>14</v>
      </c>
      <c r="B23" s="208"/>
      <c r="C23" s="219">
        <f>'(B) Base Bud Adj'!V23</f>
        <v>71413808</v>
      </c>
      <c r="D23" s="219"/>
      <c r="E23" s="219"/>
      <c r="F23" s="293"/>
      <c r="G23" s="389">
        <v>-9917250</v>
      </c>
      <c r="H23" s="389"/>
      <c r="I23" s="209"/>
      <c r="J23" s="210">
        <f t="shared" si="0"/>
        <v>61496558</v>
      </c>
      <c r="K23" s="298"/>
      <c r="M23" s="212">
        <v>575000</v>
      </c>
      <c r="N23" s="213">
        <v>188000</v>
      </c>
      <c r="O23" s="213">
        <v>0</v>
      </c>
      <c r="P23" s="213"/>
      <c r="Q23" s="214">
        <f t="shared" si="1"/>
        <v>763000</v>
      </c>
    </row>
    <row r="24" spans="1:17" ht="12.75" customHeight="1">
      <c r="A24" s="208" t="s">
        <v>15</v>
      </c>
      <c r="B24" s="208"/>
      <c r="C24" s="219">
        <f>'(B) Base Bud Adj'!V24</f>
        <v>124962996</v>
      </c>
      <c r="D24" s="219"/>
      <c r="E24" s="219"/>
      <c r="F24" s="293"/>
      <c r="G24" s="389">
        <v>-20696750</v>
      </c>
      <c r="H24" s="389"/>
      <c r="I24" s="209"/>
      <c r="J24" s="210">
        <f t="shared" si="0"/>
        <v>104266246</v>
      </c>
      <c r="K24" s="298"/>
      <c r="M24" s="212">
        <v>1231000</v>
      </c>
      <c r="N24" s="213">
        <v>374000</v>
      </c>
      <c r="O24" s="213">
        <v>0</v>
      </c>
      <c r="P24" s="213"/>
      <c r="Q24" s="214">
        <f t="shared" si="1"/>
        <v>1605000</v>
      </c>
    </row>
    <row r="25" spans="1:17" ht="12.75" customHeight="1">
      <c r="A25" s="208" t="s">
        <v>16</v>
      </c>
      <c r="B25" s="208"/>
      <c r="C25" s="219">
        <f>'(B) Base Bud Adj'!V25</f>
        <v>104030959</v>
      </c>
      <c r="D25" s="219"/>
      <c r="E25" s="219"/>
      <c r="F25" s="293"/>
      <c r="G25" s="389">
        <v>-17389250</v>
      </c>
      <c r="H25" s="389"/>
      <c r="I25" s="209"/>
      <c r="J25" s="210">
        <f t="shared" si="0"/>
        <v>86641709</v>
      </c>
      <c r="K25" s="298"/>
      <c r="M25" s="212">
        <v>998000</v>
      </c>
      <c r="N25" s="213">
        <v>267000</v>
      </c>
      <c r="O25" s="213">
        <v>0</v>
      </c>
      <c r="P25" s="213"/>
      <c r="Q25" s="214">
        <f t="shared" si="1"/>
        <v>1265000</v>
      </c>
    </row>
    <row r="26" spans="1:17" ht="12.75" customHeight="1">
      <c r="A26" s="208" t="s">
        <v>17</v>
      </c>
      <c r="B26" s="208"/>
      <c r="C26" s="219">
        <f>'(B) Base Bud Adj'!V26</f>
        <v>93673982</v>
      </c>
      <c r="D26" s="219"/>
      <c r="E26" s="219"/>
      <c r="F26" s="293"/>
      <c r="G26" s="389">
        <v>-16269750</v>
      </c>
      <c r="H26" s="389"/>
      <c r="I26" s="209"/>
      <c r="J26" s="210">
        <f t="shared" si="0"/>
        <v>77404232</v>
      </c>
      <c r="K26" s="298"/>
      <c r="M26" s="212">
        <v>956000</v>
      </c>
      <c r="N26" s="213">
        <v>327000</v>
      </c>
      <c r="O26" s="213">
        <v>62000</v>
      </c>
      <c r="P26" s="213"/>
      <c r="Q26" s="214">
        <f t="shared" si="1"/>
        <v>1345000</v>
      </c>
    </row>
    <row r="27" spans="1:17" ht="12.75" customHeight="1">
      <c r="A27" s="208" t="s">
        <v>18</v>
      </c>
      <c r="B27" s="208"/>
      <c r="C27" s="219">
        <f>'(B) Base Bud Adj'!V27</f>
        <v>83525368</v>
      </c>
      <c r="D27" s="219"/>
      <c r="E27" s="219"/>
      <c r="F27" s="293"/>
      <c r="G27" s="389">
        <v>-14409750</v>
      </c>
      <c r="H27" s="389"/>
      <c r="I27" s="209"/>
      <c r="J27" s="210">
        <f t="shared" si="0"/>
        <v>69115618</v>
      </c>
      <c r="K27" s="298"/>
      <c r="M27" s="212">
        <v>872000</v>
      </c>
      <c r="N27" s="213">
        <v>294000</v>
      </c>
      <c r="O27" s="213">
        <v>1887000</v>
      </c>
      <c r="P27" s="213"/>
      <c r="Q27" s="214">
        <f t="shared" si="1"/>
        <v>3053000</v>
      </c>
    </row>
    <row r="28" spans="1:17" ht="12.75" customHeight="1">
      <c r="A28" s="208" t="s">
        <v>19</v>
      </c>
      <c r="B28" s="208"/>
      <c r="C28" s="219">
        <f>'(B) Base Bud Adj'!V28</f>
        <v>48970252</v>
      </c>
      <c r="D28" s="219"/>
      <c r="E28" s="219"/>
      <c r="F28" s="293"/>
      <c r="G28" s="389">
        <v>-5478250</v>
      </c>
      <c r="H28" s="389"/>
      <c r="I28" s="209"/>
      <c r="J28" s="210">
        <f t="shared" si="0"/>
        <v>43492002</v>
      </c>
      <c r="K28" s="298"/>
      <c r="M28" s="212">
        <v>382000</v>
      </c>
      <c r="N28" s="213">
        <v>107000</v>
      </c>
      <c r="O28" s="213">
        <v>0</v>
      </c>
      <c r="P28" s="213"/>
      <c r="Q28" s="214">
        <f t="shared" si="1"/>
        <v>489000</v>
      </c>
    </row>
    <row r="29" spans="1:17" ht="12.75" customHeight="1">
      <c r="A29" s="208" t="s">
        <v>20</v>
      </c>
      <c r="B29" s="208"/>
      <c r="C29" s="219">
        <f>'(B) Base Bud Adj'!V29</f>
        <v>43678183</v>
      </c>
      <c r="D29" s="219"/>
      <c r="E29" s="219"/>
      <c r="F29" s="293"/>
      <c r="G29" s="389">
        <v>-4924250</v>
      </c>
      <c r="H29" s="389"/>
      <c r="I29" s="209"/>
      <c r="J29" s="210">
        <f t="shared" si="0"/>
        <v>38753933</v>
      </c>
      <c r="K29" s="298"/>
      <c r="M29" s="212">
        <v>356000</v>
      </c>
      <c r="N29" s="213">
        <v>109000</v>
      </c>
      <c r="O29" s="213">
        <v>0</v>
      </c>
      <c r="P29" s="213"/>
      <c r="Q29" s="214">
        <f t="shared" si="1"/>
        <v>465000</v>
      </c>
    </row>
    <row r="30" spans="1:17" ht="12.75" customHeight="1">
      <c r="A30" s="208" t="s">
        <v>21</v>
      </c>
      <c r="B30" s="208"/>
      <c r="C30" s="219">
        <f>'(B) Base Bud Adj'!V30</f>
        <v>44198947</v>
      </c>
      <c r="D30" s="219"/>
      <c r="E30" s="219"/>
      <c r="F30" s="293"/>
      <c r="G30" s="389">
        <v>-4928500</v>
      </c>
      <c r="H30" s="389"/>
      <c r="I30" s="209"/>
      <c r="J30" s="210">
        <f t="shared" si="0"/>
        <v>39270447</v>
      </c>
      <c r="K30" s="298"/>
      <c r="M30" s="212">
        <v>344000</v>
      </c>
      <c r="N30" s="213">
        <v>112000</v>
      </c>
      <c r="O30" s="213">
        <v>0</v>
      </c>
      <c r="P30" s="213"/>
      <c r="Q30" s="214">
        <f t="shared" si="1"/>
        <v>456000</v>
      </c>
    </row>
    <row r="31" spans="1:17" ht="9" customHeight="1">
      <c r="A31" s="208"/>
      <c r="B31" s="208"/>
      <c r="C31" s="219"/>
      <c r="D31" s="219"/>
      <c r="E31" s="219"/>
      <c r="F31" s="293"/>
      <c r="G31" s="211"/>
      <c r="H31" s="211"/>
      <c r="I31" s="209"/>
      <c r="J31" s="284"/>
      <c r="K31" s="211"/>
      <c r="M31" s="212"/>
      <c r="N31" s="213"/>
      <c r="O31" s="213"/>
      <c r="P31" s="213"/>
      <c r="Q31" s="214"/>
    </row>
    <row r="32" spans="1:17" ht="15" customHeight="1">
      <c r="A32" s="215" t="s">
        <v>22</v>
      </c>
      <c r="B32" s="215"/>
      <c r="C32" s="215">
        <f>SUM(C8:C31)</f>
        <v>1761283171.1599998</v>
      </c>
      <c r="D32" s="215"/>
      <c r="E32" s="215"/>
      <c r="F32" s="294"/>
      <c r="G32" s="216">
        <f>SUM(G8:G31)</f>
        <v>-248124000</v>
      </c>
      <c r="H32" s="216"/>
      <c r="I32" s="216"/>
      <c r="J32" s="217">
        <f>SUM(J8:J31)</f>
        <v>1513159171.1599998</v>
      </c>
      <c r="K32" s="204"/>
      <c r="M32" s="390">
        <f>SUM(M8:M31)</f>
        <v>14871000</v>
      </c>
      <c r="N32" s="218">
        <f>SUM(N8:N31)</f>
        <v>4600000</v>
      </c>
      <c r="O32" s="218">
        <f>SUM(O8:O30)</f>
        <v>2754000</v>
      </c>
      <c r="P32" s="218"/>
      <c r="Q32" s="281">
        <f>SUM(Q8:Q31)</f>
        <v>22225000</v>
      </c>
    </row>
    <row r="33" spans="1:17" ht="9" customHeight="1">
      <c r="A33" s="208"/>
      <c r="B33" s="208"/>
      <c r="C33" s="219"/>
      <c r="D33" s="219"/>
      <c r="E33" s="219"/>
      <c r="F33" s="293"/>
      <c r="G33" s="211"/>
      <c r="H33" s="211"/>
      <c r="I33" s="209"/>
      <c r="J33" s="284"/>
      <c r="K33" s="211"/>
      <c r="M33" s="212"/>
      <c r="N33" s="213"/>
      <c r="O33" s="213"/>
      <c r="P33" s="213"/>
      <c r="Q33" s="214"/>
    </row>
    <row r="34" spans="1:17" ht="12.75" customHeight="1">
      <c r="A34" s="183" t="s">
        <v>23</v>
      </c>
      <c r="B34" s="183"/>
      <c r="C34" s="219">
        <f>'(B) Base Bud Adj'!V34</f>
        <v>64190566</v>
      </c>
      <c r="D34" s="219"/>
      <c r="E34" s="219"/>
      <c r="F34" s="293"/>
      <c r="G34" s="209">
        <f>-1876000</f>
        <v>-1876000</v>
      </c>
      <c r="H34" s="209"/>
      <c r="I34" s="209"/>
      <c r="J34" s="210">
        <f aca="true" t="shared" si="2" ref="J34:J39">C34+G34</f>
        <v>62314566</v>
      </c>
      <c r="K34" s="204"/>
      <c r="M34" s="212">
        <v>215000</v>
      </c>
      <c r="N34" s="213">
        <v>0</v>
      </c>
      <c r="O34" s="213">
        <v>0</v>
      </c>
      <c r="P34" s="213"/>
      <c r="Q34" s="214">
        <f aca="true" t="shared" si="3" ref="Q34:Q39">SUM(M34:P34)</f>
        <v>215000</v>
      </c>
    </row>
    <row r="35" spans="1:17" ht="12.75" customHeight="1">
      <c r="A35" s="183" t="s">
        <v>29</v>
      </c>
      <c r="B35" s="183"/>
      <c r="C35" s="219">
        <f>'(B) Base Bud Adj'!V35</f>
        <v>981735</v>
      </c>
      <c r="D35" s="219"/>
      <c r="E35" s="219"/>
      <c r="F35" s="293"/>
      <c r="G35" s="209">
        <v>0</v>
      </c>
      <c r="H35" s="209"/>
      <c r="I35" s="209"/>
      <c r="J35" s="210">
        <f t="shared" si="2"/>
        <v>981735</v>
      </c>
      <c r="K35" s="204"/>
      <c r="M35" s="212">
        <v>0</v>
      </c>
      <c r="N35" s="213">
        <v>0</v>
      </c>
      <c r="O35" s="213">
        <v>0</v>
      </c>
      <c r="P35" s="213"/>
      <c r="Q35" s="214">
        <f t="shared" si="3"/>
        <v>0</v>
      </c>
    </row>
    <row r="36" spans="1:17" ht="12.75" customHeight="1">
      <c r="A36" s="183" t="s">
        <v>24</v>
      </c>
      <c r="B36" s="183"/>
      <c r="C36" s="219">
        <f>'(B) Base Bud Adj'!V36</f>
        <v>2292619</v>
      </c>
      <c r="D36" s="219"/>
      <c r="E36" s="219"/>
      <c r="F36" s="293"/>
      <c r="G36" s="209">
        <v>0</v>
      </c>
      <c r="H36" s="209"/>
      <c r="I36" s="209"/>
      <c r="J36" s="210">
        <f t="shared" si="2"/>
        <v>2292619</v>
      </c>
      <c r="K36" s="204"/>
      <c r="M36" s="212">
        <v>0</v>
      </c>
      <c r="N36" s="213">
        <v>0</v>
      </c>
      <c r="O36" s="213">
        <v>0</v>
      </c>
      <c r="P36" s="213"/>
      <c r="Q36" s="214">
        <f t="shared" si="3"/>
        <v>0</v>
      </c>
    </row>
    <row r="37" spans="1:17" ht="12.75" customHeight="1">
      <c r="A37" s="183" t="s">
        <v>25</v>
      </c>
      <c r="B37" s="183"/>
      <c r="C37" s="219">
        <f>'(B) Base Bud Adj'!V37</f>
        <v>57800</v>
      </c>
      <c r="D37" s="219"/>
      <c r="E37" s="219"/>
      <c r="F37" s="293"/>
      <c r="G37" s="209">
        <v>0</v>
      </c>
      <c r="H37" s="209"/>
      <c r="I37" s="209"/>
      <c r="J37" s="210">
        <f t="shared" si="2"/>
        <v>57800</v>
      </c>
      <c r="K37" s="204"/>
      <c r="M37" s="212">
        <v>0</v>
      </c>
      <c r="N37" s="213">
        <v>0</v>
      </c>
      <c r="O37" s="213">
        <v>0</v>
      </c>
      <c r="P37" s="213"/>
      <c r="Q37" s="214">
        <f t="shared" si="3"/>
        <v>0</v>
      </c>
    </row>
    <row r="38" spans="1:17" ht="12.75" customHeight="1">
      <c r="A38" s="182" t="s">
        <v>26</v>
      </c>
      <c r="B38" s="182"/>
      <c r="C38" s="219">
        <f>'(B) Base Bud Adj'!V38</f>
        <v>181846109</v>
      </c>
      <c r="D38" s="219"/>
      <c r="E38" s="219"/>
      <c r="F38" s="293"/>
      <c r="G38" s="209">
        <v>0</v>
      </c>
      <c r="H38" s="209"/>
      <c r="I38" s="209"/>
      <c r="J38" s="210">
        <f t="shared" si="2"/>
        <v>181846109</v>
      </c>
      <c r="K38" s="204"/>
      <c r="M38" s="212">
        <v>0</v>
      </c>
      <c r="N38" s="213">
        <v>0</v>
      </c>
      <c r="O38" s="213">
        <v>0</v>
      </c>
      <c r="P38" s="213"/>
      <c r="Q38" s="214">
        <f t="shared" si="3"/>
        <v>0</v>
      </c>
    </row>
    <row r="39" spans="1:17" ht="12.75" customHeight="1">
      <c r="A39" s="74" t="s">
        <v>77</v>
      </c>
      <c r="B39" s="74"/>
      <c r="C39" s="219">
        <f>'(B) Base Bud Adj'!V39</f>
        <v>0</v>
      </c>
      <c r="D39" s="219"/>
      <c r="E39" s="219"/>
      <c r="F39" s="293"/>
      <c r="G39" s="209">
        <v>250000000</v>
      </c>
      <c r="H39" s="209"/>
      <c r="I39" s="209"/>
      <c r="J39" s="210">
        <f t="shared" si="2"/>
        <v>250000000</v>
      </c>
      <c r="K39" s="204"/>
      <c r="M39" s="212">
        <v>0</v>
      </c>
      <c r="N39" s="213">
        <v>0</v>
      </c>
      <c r="O39" s="213">
        <v>0</v>
      </c>
      <c r="P39" s="213"/>
      <c r="Q39" s="214">
        <f t="shared" si="3"/>
        <v>0</v>
      </c>
    </row>
    <row r="40" spans="1:17" ht="9" customHeight="1">
      <c r="A40" s="219"/>
      <c r="B40" s="289"/>
      <c r="C40" s="289"/>
      <c r="D40" s="289"/>
      <c r="E40" s="289"/>
      <c r="F40" s="295"/>
      <c r="G40" s="211"/>
      <c r="H40" s="211"/>
      <c r="I40" s="220"/>
      <c r="J40" s="284"/>
      <c r="K40" s="211"/>
      <c r="M40" s="221"/>
      <c r="N40" s="222"/>
      <c r="O40" s="222"/>
      <c r="P40" s="222"/>
      <c r="Q40" s="223"/>
    </row>
    <row r="41" spans="1:17" ht="16.5" thickBot="1">
      <c r="A41" s="224" t="s">
        <v>27</v>
      </c>
      <c r="B41" s="285"/>
      <c r="C41" s="285">
        <f>SUM(C32:C39)</f>
        <v>2010652000.1599998</v>
      </c>
      <c r="D41" s="285"/>
      <c r="E41" s="285"/>
      <c r="F41" s="296"/>
      <c r="G41" s="225">
        <f>SUM(G32:G39)</f>
        <v>0</v>
      </c>
      <c r="H41" s="225"/>
      <c r="I41" s="225"/>
      <c r="J41" s="226">
        <f>SUM(J32:J39)</f>
        <v>2010652000.1599998</v>
      </c>
      <c r="K41" s="204"/>
      <c r="M41" s="391">
        <f>SUM(M32:M39)</f>
        <v>15086000</v>
      </c>
      <c r="N41" s="227">
        <f>SUM(N32:N39)</f>
        <v>4600000</v>
      </c>
      <c r="O41" s="227">
        <f>SUM(O32:O39)</f>
        <v>2754000</v>
      </c>
      <c r="P41" s="227"/>
      <c r="Q41" s="282">
        <f>SUM(Q32:Q39)</f>
        <v>22440000</v>
      </c>
    </row>
    <row r="42" spans="1:17" ht="9" customHeight="1">
      <c r="A42" s="208"/>
      <c r="B42" s="208"/>
      <c r="C42" s="208"/>
      <c r="D42" s="208"/>
      <c r="E42" s="208"/>
      <c r="F42" s="228"/>
      <c r="G42" s="228"/>
      <c r="H42" s="228"/>
      <c r="I42" s="228"/>
      <c r="J42" s="211"/>
      <c r="K42" s="211"/>
      <c r="M42" s="229"/>
      <c r="N42" s="229"/>
      <c r="O42" s="229"/>
      <c r="P42" s="213"/>
      <c r="Q42" s="230"/>
    </row>
    <row r="43" spans="1:17" ht="30" customHeight="1">
      <c r="A43" s="428" t="s">
        <v>179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M43" s="427" t="s">
        <v>183</v>
      </c>
      <c r="N43" s="427"/>
      <c r="O43" s="427"/>
      <c r="P43" s="427"/>
      <c r="Q43" s="427"/>
    </row>
    <row r="44" spans="1:17" ht="15.75" customHeight="1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M44" s="427" t="s">
        <v>145</v>
      </c>
      <c r="N44" s="427"/>
      <c r="O44" s="427"/>
      <c r="P44" s="427"/>
      <c r="Q44" s="427"/>
    </row>
    <row r="45" spans="6:11" ht="15.75">
      <c r="F45" s="179"/>
      <c r="G45" s="179"/>
      <c r="H45" s="179"/>
      <c r="I45" s="179"/>
      <c r="J45" s="185"/>
      <c r="K45" s="185"/>
    </row>
    <row r="46" spans="6:11" ht="15.75">
      <c r="F46" s="179"/>
      <c r="G46" s="179"/>
      <c r="H46" s="179"/>
      <c r="I46" s="179"/>
      <c r="J46" s="185"/>
      <c r="K46" s="185"/>
    </row>
    <row r="47" spans="6:11" ht="15.75">
      <c r="F47" s="179"/>
      <c r="G47" s="179"/>
      <c r="H47" s="179"/>
      <c r="I47" s="179"/>
      <c r="J47" s="185"/>
      <c r="K47" s="185"/>
    </row>
    <row r="48" spans="6:11" ht="15.75">
      <c r="F48" s="179"/>
      <c r="G48" s="179"/>
      <c r="H48" s="179"/>
      <c r="I48" s="179"/>
      <c r="J48" s="185"/>
      <c r="K48" s="185"/>
    </row>
    <row r="49" spans="6:11" ht="15.75">
      <c r="F49" s="179"/>
      <c r="G49" s="179"/>
      <c r="H49" s="179"/>
      <c r="I49" s="179"/>
      <c r="J49" s="185"/>
      <c r="K49" s="185"/>
    </row>
    <row r="50" spans="6:11" ht="15.75">
      <c r="F50" s="179"/>
      <c r="G50" s="179"/>
      <c r="H50" s="179"/>
      <c r="I50" s="179"/>
      <c r="J50" s="185"/>
      <c r="K50" s="185"/>
    </row>
    <row r="51" spans="1:5" ht="15.75">
      <c r="A51" s="166"/>
      <c r="B51" s="166"/>
      <c r="C51" s="166"/>
      <c r="D51" s="166"/>
      <c r="E51" s="166"/>
    </row>
    <row r="52" spans="1:5" ht="15.75">
      <c r="A52" s="166"/>
      <c r="B52" s="166"/>
      <c r="C52" s="166"/>
      <c r="D52" s="166"/>
      <c r="E52" s="166"/>
    </row>
    <row r="53" spans="1:5" ht="15.75">
      <c r="A53" s="166"/>
      <c r="B53" s="166"/>
      <c r="C53" s="166"/>
      <c r="D53" s="166"/>
      <c r="E53" s="166"/>
    </row>
    <row r="54" spans="1:5" ht="15.75">
      <c r="A54" s="166"/>
      <c r="B54" s="166"/>
      <c r="C54" s="166"/>
      <c r="D54" s="166"/>
      <c r="E54" s="166"/>
    </row>
    <row r="55" spans="1:5" ht="15.75">
      <c r="A55" s="166"/>
      <c r="B55" s="166"/>
      <c r="C55" s="166"/>
      <c r="D55" s="166"/>
      <c r="E55" s="166"/>
    </row>
    <row r="56" spans="1:5" ht="15.75">
      <c r="A56" s="180"/>
      <c r="B56" s="180"/>
      <c r="C56" s="180"/>
      <c r="D56" s="180"/>
      <c r="E56" s="180"/>
    </row>
    <row r="57" spans="1:5" ht="15.75">
      <c r="A57" s="166"/>
      <c r="B57" s="166"/>
      <c r="C57" s="166"/>
      <c r="D57" s="166"/>
      <c r="E57" s="166"/>
    </row>
    <row r="58" spans="1:5" ht="15.75">
      <c r="A58" s="166"/>
      <c r="B58" s="166"/>
      <c r="C58" s="166"/>
      <c r="D58" s="166"/>
      <c r="E58" s="166"/>
    </row>
    <row r="59" spans="1:5" ht="15.75">
      <c r="A59" s="166"/>
      <c r="B59" s="166"/>
      <c r="C59" s="166"/>
      <c r="D59" s="166"/>
      <c r="E59" s="166"/>
    </row>
    <row r="60" spans="1:5" ht="15.75">
      <c r="A60" s="166"/>
      <c r="B60" s="166"/>
      <c r="C60" s="166"/>
      <c r="D60" s="166"/>
      <c r="E60" s="166"/>
    </row>
    <row r="61" spans="1:5" ht="15.75">
      <c r="A61" s="166"/>
      <c r="B61" s="166"/>
      <c r="C61" s="166"/>
      <c r="D61" s="166"/>
      <c r="E61" s="166"/>
    </row>
    <row r="62" spans="1:5" ht="15.75">
      <c r="A62" s="166"/>
      <c r="B62" s="166"/>
      <c r="C62" s="166"/>
      <c r="D62" s="166"/>
      <c r="E62" s="166"/>
    </row>
    <row r="63" spans="1:5" ht="15.75">
      <c r="A63" s="166"/>
      <c r="B63" s="166"/>
      <c r="C63" s="166"/>
      <c r="D63" s="166"/>
      <c r="E63" s="166"/>
    </row>
    <row r="64" spans="1:5" ht="15.75">
      <c r="A64" s="180"/>
      <c r="B64" s="180"/>
      <c r="C64" s="180"/>
      <c r="D64" s="180"/>
      <c r="E64" s="180"/>
    </row>
    <row r="65" spans="1:5" ht="15.75">
      <c r="A65" s="166"/>
      <c r="B65" s="166"/>
      <c r="C65" s="166"/>
      <c r="D65" s="166"/>
      <c r="E65" s="166"/>
    </row>
    <row r="66" spans="1:5" ht="15.75">
      <c r="A66" s="166"/>
      <c r="B66" s="166"/>
      <c r="C66" s="166"/>
      <c r="D66" s="166"/>
      <c r="E66" s="166"/>
    </row>
    <row r="67" spans="1:5" ht="15.75">
      <c r="A67" s="166"/>
      <c r="B67" s="166"/>
      <c r="C67" s="166"/>
      <c r="D67" s="166"/>
      <c r="E67" s="166"/>
    </row>
    <row r="68" spans="1:5" ht="15.75">
      <c r="A68" s="166"/>
      <c r="B68" s="166"/>
      <c r="C68" s="166"/>
      <c r="D68" s="166"/>
      <c r="E68" s="166"/>
    </row>
    <row r="69" spans="1:5" ht="15.75">
      <c r="A69" s="166"/>
      <c r="B69" s="166"/>
      <c r="C69" s="166"/>
      <c r="D69" s="166"/>
      <c r="E69" s="166"/>
    </row>
    <row r="70" spans="1:5" ht="15.75">
      <c r="A70" s="166"/>
      <c r="B70" s="166"/>
      <c r="C70" s="166"/>
      <c r="D70" s="166"/>
      <c r="E70" s="166"/>
    </row>
  </sheetData>
  <sheetProtection/>
  <mergeCells count="6">
    <mergeCell ref="M4:O4"/>
    <mergeCell ref="M44:Q44"/>
    <mergeCell ref="M43:Q43"/>
    <mergeCell ref="A43:K44"/>
    <mergeCell ref="F6:H6"/>
    <mergeCell ref="B5:D5"/>
  </mergeCells>
  <printOptions/>
  <pageMargins left="0.5" right="0.25" top="0.25" bottom="0.25" header="0.3" footer="0.3"/>
  <pageSetup fitToHeight="1" fitToWidth="1" horizontalDpi="600" verticalDpi="600" orientation="landscape" paperSize="5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6" sqref="H6"/>
    </sheetView>
  </sheetViews>
  <sheetFormatPr defaultColWidth="9.33203125" defaultRowHeight="12.75"/>
  <cols>
    <col min="1" max="1" width="23.83203125" style="117" customWidth="1"/>
    <col min="2" max="3" width="8.83203125" style="117" customWidth="1"/>
    <col min="4" max="5" width="12.83203125" style="117" customWidth="1"/>
    <col min="6" max="6" width="10.83203125" style="117" customWidth="1"/>
    <col min="7" max="7" width="9.83203125" style="117" customWidth="1"/>
    <col min="8" max="8" width="12.5" style="117" bestFit="1" customWidth="1"/>
    <col min="9" max="9" width="10.5" style="117" bestFit="1" customWidth="1"/>
    <col min="10" max="10" width="14.83203125" style="117" customWidth="1"/>
    <col min="11" max="11" width="11.83203125" style="117" customWidth="1"/>
    <col min="12" max="12" width="12.83203125" style="117" customWidth="1"/>
    <col min="13" max="13" width="16.83203125" style="117" bestFit="1" customWidth="1"/>
    <col min="14" max="14" width="16.33203125" style="117" bestFit="1" customWidth="1"/>
    <col min="15" max="15" width="16.83203125" style="117" bestFit="1" customWidth="1"/>
    <col min="16" max="221" width="8.83203125" style="117" customWidth="1"/>
    <col min="222" max="222" width="24.16015625" style="117" customWidth="1"/>
    <col min="223" max="225" width="16.5" style="117" customWidth="1"/>
    <col min="226" max="226" width="18" style="117" customWidth="1"/>
    <col min="227" max="227" width="16.5" style="117" customWidth="1"/>
    <col min="228" max="228" width="4" style="117" customWidth="1"/>
    <col min="229" max="231" width="9.33203125" style="117" customWidth="1"/>
    <col min="232" max="232" width="22.5" style="117" customWidth="1"/>
    <col min="233" max="233" width="3.83203125" style="117" customWidth="1"/>
    <col min="234" max="234" width="16.5" style="117" customWidth="1"/>
    <col min="235" max="235" width="17.33203125" style="117" customWidth="1"/>
    <col min="236" max="239" width="16.5" style="117" customWidth="1"/>
    <col min="240" max="241" width="9.33203125" style="117" customWidth="1"/>
    <col min="242" max="242" width="18.83203125" style="117" customWidth="1"/>
    <col min="243" max="243" width="16.5" style="117" customWidth="1"/>
    <col min="244" max="244" width="17.83203125" style="117" customWidth="1"/>
    <col min="245" max="247" width="16.5" style="117" customWidth="1"/>
    <col min="248" max="248" width="17.83203125" style="117" bestFit="1" customWidth="1"/>
    <col min="249" max="249" width="16.5" style="117" customWidth="1"/>
    <col min="250" max="250" width="21" style="117" customWidth="1"/>
    <col min="251" max="251" width="16.5" style="117" customWidth="1"/>
    <col min="252" max="252" width="18.33203125" style="117" bestFit="1" customWidth="1"/>
    <col min="253" max="253" width="19.16015625" style="117" customWidth="1"/>
    <col min="254" max="255" width="18.33203125" style="117" customWidth="1"/>
    <col min="256" max="16384" width="8.83203125" style="117" customWidth="1"/>
  </cols>
  <sheetData>
    <row r="1" spans="1:14" s="113" customFormat="1" ht="18.75" customHeight="1">
      <c r="A1" s="112" t="s">
        <v>158</v>
      </c>
      <c r="B1" s="112"/>
      <c r="C1" s="112"/>
      <c r="D1" s="112"/>
      <c r="H1" s="145"/>
      <c r="M1" s="162"/>
      <c r="N1" s="146"/>
    </row>
    <row r="2" spans="1:15" s="114" customFormat="1" ht="6" customHeight="1">
      <c r="A2" s="147"/>
      <c r="O2" s="115"/>
    </row>
    <row r="3" spans="1:15" ht="15.75" customHeight="1" thickBot="1">
      <c r="A3" s="116"/>
      <c r="B3" s="21">
        <v>-1</v>
      </c>
      <c r="C3" s="21">
        <v>-2</v>
      </c>
      <c r="D3" s="21">
        <v>-3</v>
      </c>
      <c r="E3" s="111" t="s">
        <v>66</v>
      </c>
      <c r="F3" s="111" t="s">
        <v>67</v>
      </c>
      <c r="G3" s="111">
        <v>-6</v>
      </c>
      <c r="H3" s="111">
        <v>-7</v>
      </c>
      <c r="I3" s="111">
        <v>-8</v>
      </c>
      <c r="J3" s="111">
        <v>-9</v>
      </c>
      <c r="K3" s="111">
        <v>-10</v>
      </c>
      <c r="L3" s="111" t="s">
        <v>70</v>
      </c>
      <c r="M3" s="111" t="s">
        <v>71</v>
      </c>
      <c r="N3" s="111" t="s">
        <v>72</v>
      </c>
      <c r="O3" s="111" t="s">
        <v>73</v>
      </c>
    </row>
    <row r="4" spans="1:16" ht="30" customHeight="1" thickBot="1">
      <c r="A4" s="343"/>
      <c r="B4" s="321"/>
      <c r="C4" s="322"/>
      <c r="D4" s="329"/>
      <c r="E4" s="330"/>
      <c r="F4" s="320"/>
      <c r="G4" s="322"/>
      <c r="H4" s="320"/>
      <c r="I4" s="322"/>
      <c r="J4" s="431" t="s">
        <v>120</v>
      </c>
      <c r="K4" s="432"/>
      <c r="L4" s="433"/>
      <c r="M4" s="434" t="s">
        <v>107</v>
      </c>
      <c r="N4" s="435"/>
      <c r="O4" s="436"/>
      <c r="P4" s="113"/>
    </row>
    <row r="5" spans="1:16" s="120" customFormat="1" ht="96" customHeight="1" thickBot="1">
      <c r="A5" s="344"/>
      <c r="B5" s="118" t="s">
        <v>74</v>
      </c>
      <c r="C5" s="364" t="s">
        <v>184</v>
      </c>
      <c r="D5" s="437" t="s">
        <v>104</v>
      </c>
      <c r="E5" s="438"/>
      <c r="F5" s="437" t="s">
        <v>103</v>
      </c>
      <c r="G5" s="438"/>
      <c r="H5" s="437" t="s">
        <v>185</v>
      </c>
      <c r="I5" s="438"/>
      <c r="J5" s="118" t="s">
        <v>106</v>
      </c>
      <c r="K5" s="118" t="s">
        <v>103</v>
      </c>
      <c r="L5" s="118" t="s">
        <v>85</v>
      </c>
      <c r="M5" s="272" t="s">
        <v>157</v>
      </c>
      <c r="N5" s="119" t="s">
        <v>178</v>
      </c>
      <c r="O5" s="336" t="s">
        <v>169</v>
      </c>
      <c r="P5" s="312"/>
    </row>
    <row r="6" spans="1:16" s="161" customFormat="1" ht="25.5">
      <c r="A6" s="157"/>
      <c r="B6" s="323"/>
      <c r="C6" s="340"/>
      <c r="D6" s="341" t="s">
        <v>101</v>
      </c>
      <c r="E6" s="342" t="s">
        <v>102</v>
      </c>
      <c r="F6" s="341" t="s">
        <v>101</v>
      </c>
      <c r="G6" s="342" t="s">
        <v>108</v>
      </c>
      <c r="H6" s="341" t="s">
        <v>101</v>
      </c>
      <c r="I6" s="342" t="s">
        <v>102</v>
      </c>
      <c r="J6" s="338" t="s">
        <v>110</v>
      </c>
      <c r="K6" s="328" t="s">
        <v>111</v>
      </c>
      <c r="L6" s="274" t="s">
        <v>112</v>
      </c>
      <c r="M6" s="273" t="s">
        <v>113</v>
      </c>
      <c r="N6" s="159" t="s">
        <v>114</v>
      </c>
      <c r="O6" s="339" t="s">
        <v>115</v>
      </c>
      <c r="P6" s="158"/>
    </row>
    <row r="7" spans="1:16" s="124" customFormat="1" ht="6" customHeight="1">
      <c r="A7" s="121"/>
      <c r="B7" s="123"/>
      <c r="C7" s="148"/>
      <c r="D7" s="123"/>
      <c r="E7" s="148"/>
      <c r="F7" s="123"/>
      <c r="G7" s="148"/>
      <c r="H7" s="123"/>
      <c r="I7" s="148"/>
      <c r="J7" s="122"/>
      <c r="K7" s="122"/>
      <c r="L7" s="122"/>
      <c r="M7" s="271"/>
      <c r="N7" s="122"/>
      <c r="O7" s="148"/>
      <c r="P7" s="122"/>
    </row>
    <row r="8" spans="1:16" ht="12.75" customHeight="1">
      <c r="A8" s="125" t="s">
        <v>0</v>
      </c>
      <c r="B8" s="324">
        <v>6861</v>
      </c>
      <c r="C8" s="150">
        <v>117.344444</v>
      </c>
      <c r="D8" s="331">
        <v>-341000</v>
      </c>
      <c r="E8" s="149">
        <v>1000</v>
      </c>
      <c r="F8" s="331">
        <v>247000</v>
      </c>
      <c r="G8" s="149">
        <v>0</v>
      </c>
      <c r="H8" s="331">
        <v>3603000</v>
      </c>
      <c r="I8" s="335">
        <v>60000</v>
      </c>
      <c r="J8" s="126">
        <f>D8+E8</f>
        <v>-340000</v>
      </c>
      <c r="K8" s="126">
        <f>F8+G8</f>
        <v>247000</v>
      </c>
      <c r="L8" s="126">
        <f>H8+I8</f>
        <v>3663000</v>
      </c>
      <c r="M8" s="275">
        <f>J8+K8+L8</f>
        <v>3570000</v>
      </c>
      <c r="N8" s="126">
        <f>-ROUND((K8+L8)/3/1000,0)*1000</f>
        <v>-1303000</v>
      </c>
      <c r="O8" s="149">
        <f>M8+N8</f>
        <v>2267000</v>
      </c>
      <c r="P8" s="113"/>
    </row>
    <row r="9" spans="1:16" ht="12.75" customHeight="1">
      <c r="A9" s="128" t="s">
        <v>1</v>
      </c>
      <c r="B9" s="324">
        <v>3250</v>
      </c>
      <c r="C9" s="150">
        <v>14.1</v>
      </c>
      <c r="D9" s="130">
        <v>9000</v>
      </c>
      <c r="E9" s="150">
        <v>39000</v>
      </c>
      <c r="F9" s="130">
        <v>0</v>
      </c>
      <c r="G9" s="150">
        <v>0</v>
      </c>
      <c r="H9" s="130">
        <v>1805000</v>
      </c>
      <c r="I9" s="150">
        <v>10000</v>
      </c>
      <c r="J9" s="129">
        <f>D9+E9</f>
        <v>48000</v>
      </c>
      <c r="K9" s="129">
        <f>F9+G9</f>
        <v>0</v>
      </c>
      <c r="L9" s="129">
        <f>H9+I9</f>
        <v>1815000</v>
      </c>
      <c r="M9" s="276">
        <f>J9+K9+L9</f>
        <v>1863000</v>
      </c>
      <c r="N9" s="129">
        <f>-ROUND((K9+L9)/3/1000,0)*1000</f>
        <v>-605000</v>
      </c>
      <c r="O9" s="150">
        <f>M9+N9</f>
        <v>1258000</v>
      </c>
      <c r="P9" s="113"/>
    </row>
    <row r="10" spans="1:16" ht="12.75" customHeight="1">
      <c r="A10" s="128" t="s">
        <v>2</v>
      </c>
      <c r="B10" s="324">
        <v>14193</v>
      </c>
      <c r="C10" s="150">
        <v>537.025</v>
      </c>
      <c r="D10" s="130">
        <v>-402000</v>
      </c>
      <c r="E10" s="150">
        <v>251000</v>
      </c>
      <c r="F10" s="130">
        <v>0</v>
      </c>
      <c r="G10" s="150">
        <v>0</v>
      </c>
      <c r="H10" s="130">
        <v>7287000</v>
      </c>
      <c r="I10" s="150">
        <v>296000</v>
      </c>
      <c r="J10" s="129">
        <f aca="true" t="shared" si="0" ref="J10:J30">D10+E10</f>
        <v>-151000</v>
      </c>
      <c r="K10" s="129">
        <f aca="true" t="shared" si="1" ref="K10:K30">F10+G10</f>
        <v>0</v>
      </c>
      <c r="L10" s="129">
        <f aca="true" t="shared" si="2" ref="L10:L30">H10+I10</f>
        <v>7583000</v>
      </c>
      <c r="M10" s="276">
        <f aca="true" t="shared" si="3" ref="M10:M30">J10+K10+L10</f>
        <v>7432000</v>
      </c>
      <c r="N10" s="129">
        <f aca="true" t="shared" si="4" ref="N10:N30">-ROUND((K10+L10)/3/1000,0)*1000</f>
        <v>-2528000</v>
      </c>
      <c r="O10" s="150">
        <f aca="true" t="shared" si="5" ref="O10:O30">M10+N10</f>
        <v>4904000</v>
      </c>
      <c r="P10" s="113"/>
    </row>
    <row r="11" spans="1:16" ht="12.75" customHeight="1">
      <c r="A11" s="128" t="s">
        <v>3</v>
      </c>
      <c r="B11" s="324">
        <v>9425</v>
      </c>
      <c r="C11" s="150">
        <v>86.808334</v>
      </c>
      <c r="D11" s="130">
        <v>-812000</v>
      </c>
      <c r="E11" s="150">
        <v>-108000</v>
      </c>
      <c r="F11" s="130">
        <v>0</v>
      </c>
      <c r="G11" s="150">
        <v>0</v>
      </c>
      <c r="H11" s="130">
        <v>5804000</v>
      </c>
      <c r="I11" s="150">
        <v>57000</v>
      </c>
      <c r="J11" s="129">
        <f t="shared" si="0"/>
        <v>-920000</v>
      </c>
      <c r="K11" s="129">
        <f t="shared" si="1"/>
        <v>0</v>
      </c>
      <c r="L11" s="129">
        <f t="shared" si="2"/>
        <v>5861000</v>
      </c>
      <c r="M11" s="276">
        <f t="shared" si="3"/>
        <v>4941000</v>
      </c>
      <c r="N11" s="129">
        <f t="shared" si="4"/>
        <v>-1954000</v>
      </c>
      <c r="O11" s="150">
        <f t="shared" si="5"/>
        <v>2987000</v>
      </c>
      <c r="P11" s="113"/>
    </row>
    <row r="12" spans="1:16" ht="12.75" customHeight="1">
      <c r="A12" s="128" t="s">
        <v>28</v>
      </c>
      <c r="B12" s="324">
        <v>11300</v>
      </c>
      <c r="C12" s="150">
        <v>1004.388889</v>
      </c>
      <c r="D12" s="130">
        <v>-435000</v>
      </c>
      <c r="E12" s="150">
        <v>-971000</v>
      </c>
      <c r="F12" s="130">
        <v>295000</v>
      </c>
      <c r="G12" s="150">
        <v>5000</v>
      </c>
      <c r="H12" s="130">
        <v>6151000</v>
      </c>
      <c r="I12" s="150">
        <v>570000</v>
      </c>
      <c r="J12" s="129">
        <f t="shared" si="0"/>
        <v>-1406000</v>
      </c>
      <c r="K12" s="129">
        <f t="shared" si="1"/>
        <v>300000</v>
      </c>
      <c r="L12" s="129">
        <f t="shared" si="2"/>
        <v>6721000</v>
      </c>
      <c r="M12" s="276">
        <f t="shared" si="3"/>
        <v>5615000</v>
      </c>
      <c r="N12" s="129">
        <f t="shared" si="4"/>
        <v>-2340000</v>
      </c>
      <c r="O12" s="150">
        <f t="shared" si="5"/>
        <v>3275000</v>
      </c>
      <c r="P12" s="113"/>
    </row>
    <row r="13" spans="1:16" ht="12.75" customHeight="1">
      <c r="A13" s="128" t="s">
        <v>4</v>
      </c>
      <c r="B13" s="324">
        <v>17567</v>
      </c>
      <c r="C13" s="150">
        <v>406.716666</v>
      </c>
      <c r="D13" s="130">
        <v>-492000</v>
      </c>
      <c r="E13" s="150">
        <v>-141000</v>
      </c>
      <c r="F13" s="130">
        <v>0</v>
      </c>
      <c r="G13" s="150">
        <v>0</v>
      </c>
      <c r="H13" s="130">
        <v>9562000</v>
      </c>
      <c r="I13" s="150">
        <v>244000</v>
      </c>
      <c r="J13" s="129">
        <f t="shared" si="0"/>
        <v>-633000</v>
      </c>
      <c r="K13" s="129">
        <f t="shared" si="1"/>
        <v>0</v>
      </c>
      <c r="L13" s="129">
        <f t="shared" si="2"/>
        <v>9806000</v>
      </c>
      <c r="M13" s="276">
        <f t="shared" si="3"/>
        <v>9173000</v>
      </c>
      <c r="N13" s="129">
        <f t="shared" si="4"/>
        <v>-3269000</v>
      </c>
      <c r="O13" s="150">
        <f t="shared" si="5"/>
        <v>5904000</v>
      </c>
      <c r="P13" s="113"/>
    </row>
    <row r="14" spans="1:16" ht="12.75" customHeight="1">
      <c r="A14" s="128" t="s">
        <v>5</v>
      </c>
      <c r="B14" s="324">
        <v>26875</v>
      </c>
      <c r="C14" s="150">
        <v>801.75</v>
      </c>
      <c r="D14" s="130">
        <v>-1648000</v>
      </c>
      <c r="E14" s="150">
        <v>-35000</v>
      </c>
      <c r="F14" s="130">
        <v>0</v>
      </c>
      <c r="G14" s="150">
        <v>0</v>
      </c>
      <c r="H14" s="130">
        <v>15958000</v>
      </c>
      <c r="I14" s="150">
        <v>525000</v>
      </c>
      <c r="J14" s="129">
        <f t="shared" si="0"/>
        <v>-1683000</v>
      </c>
      <c r="K14" s="129">
        <f t="shared" si="1"/>
        <v>0</v>
      </c>
      <c r="L14" s="129">
        <f t="shared" si="2"/>
        <v>16483000</v>
      </c>
      <c r="M14" s="276">
        <f t="shared" si="3"/>
        <v>14800000</v>
      </c>
      <c r="N14" s="129">
        <f t="shared" si="4"/>
        <v>-5494000</v>
      </c>
      <c r="O14" s="150">
        <f t="shared" si="5"/>
        <v>9306000</v>
      </c>
      <c r="P14" s="113"/>
    </row>
    <row r="15" spans="1:16" ht="12.75" customHeight="1">
      <c r="A15" s="128" t="s">
        <v>6</v>
      </c>
      <c r="B15" s="324">
        <v>7000</v>
      </c>
      <c r="C15" s="150">
        <v>215.683334</v>
      </c>
      <c r="D15" s="130">
        <v>388000</v>
      </c>
      <c r="E15" s="150">
        <v>-170000</v>
      </c>
      <c r="F15" s="130">
        <v>0</v>
      </c>
      <c r="G15" s="150">
        <v>0</v>
      </c>
      <c r="H15" s="130">
        <v>3566000</v>
      </c>
      <c r="I15" s="150">
        <v>115000</v>
      </c>
      <c r="J15" s="129">
        <f t="shared" si="0"/>
        <v>218000</v>
      </c>
      <c r="K15" s="129">
        <f t="shared" si="1"/>
        <v>0</v>
      </c>
      <c r="L15" s="129">
        <f t="shared" si="2"/>
        <v>3681000</v>
      </c>
      <c r="M15" s="276">
        <f t="shared" si="3"/>
        <v>3899000</v>
      </c>
      <c r="N15" s="129">
        <f t="shared" si="4"/>
        <v>-1227000</v>
      </c>
      <c r="O15" s="150">
        <f t="shared" si="5"/>
        <v>2672000</v>
      </c>
      <c r="P15" s="113"/>
    </row>
    <row r="16" spans="1:16" ht="12.75" customHeight="1">
      <c r="A16" s="128" t="s">
        <v>7</v>
      </c>
      <c r="B16" s="324">
        <v>26875</v>
      </c>
      <c r="C16" s="150">
        <v>1045.075</v>
      </c>
      <c r="D16" s="130">
        <v>-819000</v>
      </c>
      <c r="E16" s="150">
        <v>-65000</v>
      </c>
      <c r="F16" s="130">
        <v>0</v>
      </c>
      <c r="G16" s="150">
        <v>0</v>
      </c>
      <c r="H16" s="130">
        <v>15583000</v>
      </c>
      <c r="I16" s="150">
        <v>646000</v>
      </c>
      <c r="J16" s="129">
        <f t="shared" si="0"/>
        <v>-884000</v>
      </c>
      <c r="K16" s="129">
        <f t="shared" si="1"/>
        <v>0</v>
      </c>
      <c r="L16" s="129">
        <f t="shared" si="2"/>
        <v>16229000</v>
      </c>
      <c r="M16" s="276">
        <f t="shared" si="3"/>
        <v>15345000</v>
      </c>
      <c r="N16" s="129">
        <f t="shared" si="4"/>
        <v>-5410000</v>
      </c>
      <c r="O16" s="150">
        <f t="shared" si="5"/>
        <v>9935000</v>
      </c>
      <c r="P16" s="113"/>
    </row>
    <row r="17" spans="1:16" s="132" customFormat="1" ht="12.75" customHeight="1">
      <c r="A17" s="251" t="s">
        <v>8</v>
      </c>
      <c r="B17" s="325">
        <v>16350</v>
      </c>
      <c r="C17" s="254">
        <v>540.186111</v>
      </c>
      <c r="D17" s="253">
        <v>-239000</v>
      </c>
      <c r="E17" s="254">
        <v>-1856000</v>
      </c>
      <c r="F17" s="253">
        <v>123000</v>
      </c>
      <c r="G17" s="254">
        <v>7000</v>
      </c>
      <c r="H17" s="253">
        <v>9702000</v>
      </c>
      <c r="I17" s="254">
        <v>358000</v>
      </c>
      <c r="J17" s="129">
        <f t="shared" si="0"/>
        <v>-2095000</v>
      </c>
      <c r="K17" s="129">
        <f t="shared" si="1"/>
        <v>130000</v>
      </c>
      <c r="L17" s="129">
        <f t="shared" si="2"/>
        <v>10060000</v>
      </c>
      <c r="M17" s="276">
        <f t="shared" si="3"/>
        <v>8095000</v>
      </c>
      <c r="N17" s="129">
        <f>-ROUND((K17+L17)/3/1000,0)*1000+1000</f>
        <v>-3396000</v>
      </c>
      <c r="O17" s="150">
        <f t="shared" si="5"/>
        <v>4699000</v>
      </c>
      <c r="P17" s="313"/>
    </row>
    <row r="18" spans="1:16" s="132" customFormat="1" ht="12.75" customHeight="1">
      <c r="A18" s="251" t="s">
        <v>9</v>
      </c>
      <c r="B18" s="325">
        <v>1025</v>
      </c>
      <c r="C18" s="254">
        <v>27.866667</v>
      </c>
      <c r="D18" s="253">
        <v>29000</v>
      </c>
      <c r="E18" s="254">
        <v>-4000</v>
      </c>
      <c r="F18" s="253">
        <v>0</v>
      </c>
      <c r="G18" s="254">
        <v>0</v>
      </c>
      <c r="H18" s="253">
        <v>385000</v>
      </c>
      <c r="I18" s="254">
        <v>11000</v>
      </c>
      <c r="J18" s="129">
        <f t="shared" si="0"/>
        <v>25000</v>
      </c>
      <c r="K18" s="129">
        <f t="shared" si="1"/>
        <v>0</v>
      </c>
      <c r="L18" s="129">
        <f t="shared" si="2"/>
        <v>396000</v>
      </c>
      <c r="M18" s="276">
        <f t="shared" si="3"/>
        <v>421000</v>
      </c>
      <c r="N18" s="129">
        <f t="shared" si="4"/>
        <v>-132000</v>
      </c>
      <c r="O18" s="150">
        <f t="shared" si="5"/>
        <v>289000</v>
      </c>
      <c r="P18" s="313"/>
    </row>
    <row r="19" spans="1:16" s="132" customFormat="1" ht="12.75" customHeight="1">
      <c r="A19" s="251" t="s">
        <v>10</v>
      </c>
      <c r="B19" s="325">
        <v>4500</v>
      </c>
      <c r="C19" s="254">
        <v>71.675</v>
      </c>
      <c r="D19" s="253">
        <v>-620000</v>
      </c>
      <c r="E19" s="254">
        <v>-78000</v>
      </c>
      <c r="F19" s="253">
        <v>0</v>
      </c>
      <c r="G19" s="254">
        <v>0</v>
      </c>
      <c r="H19" s="253">
        <v>2176000</v>
      </c>
      <c r="I19" s="254">
        <v>36000</v>
      </c>
      <c r="J19" s="129">
        <f t="shared" si="0"/>
        <v>-698000</v>
      </c>
      <c r="K19" s="129">
        <f t="shared" si="1"/>
        <v>0</v>
      </c>
      <c r="L19" s="129">
        <f t="shared" si="2"/>
        <v>2212000</v>
      </c>
      <c r="M19" s="276">
        <f t="shared" si="3"/>
        <v>1514000</v>
      </c>
      <c r="N19" s="129">
        <f t="shared" si="4"/>
        <v>-737000</v>
      </c>
      <c r="O19" s="150">
        <f t="shared" si="5"/>
        <v>777000</v>
      </c>
      <c r="P19" s="313"/>
    </row>
    <row r="20" spans="1:16" s="132" customFormat="1" ht="12.75" customHeight="1">
      <c r="A20" s="251" t="s">
        <v>11</v>
      </c>
      <c r="B20" s="325">
        <v>25270</v>
      </c>
      <c r="C20" s="254">
        <v>1482.1</v>
      </c>
      <c r="D20" s="253">
        <v>-856000</v>
      </c>
      <c r="E20" s="254">
        <v>252000</v>
      </c>
      <c r="F20" s="253">
        <v>0</v>
      </c>
      <c r="G20" s="254">
        <v>0</v>
      </c>
      <c r="H20" s="253">
        <v>15116000</v>
      </c>
      <c r="I20" s="254">
        <v>934000</v>
      </c>
      <c r="J20" s="129">
        <f t="shared" si="0"/>
        <v>-604000</v>
      </c>
      <c r="K20" s="129">
        <f t="shared" si="1"/>
        <v>0</v>
      </c>
      <c r="L20" s="129">
        <f t="shared" si="2"/>
        <v>16050000</v>
      </c>
      <c r="M20" s="276">
        <f t="shared" si="3"/>
        <v>15446000</v>
      </c>
      <c r="N20" s="129">
        <f t="shared" si="4"/>
        <v>-5350000</v>
      </c>
      <c r="O20" s="150">
        <f t="shared" si="5"/>
        <v>10096000</v>
      </c>
      <c r="P20" s="313"/>
    </row>
    <row r="21" spans="1:16" s="132" customFormat="1" ht="12.75" customHeight="1">
      <c r="A21" s="251" t="s">
        <v>12</v>
      </c>
      <c r="B21" s="325">
        <v>17150</v>
      </c>
      <c r="C21" s="254">
        <v>520.355555</v>
      </c>
      <c r="D21" s="253">
        <v>-3365000</v>
      </c>
      <c r="E21" s="254">
        <v>-501000</v>
      </c>
      <c r="F21" s="253">
        <v>0</v>
      </c>
      <c r="G21" s="254">
        <v>0</v>
      </c>
      <c r="H21" s="253">
        <v>9586000</v>
      </c>
      <c r="I21" s="254">
        <v>315000</v>
      </c>
      <c r="J21" s="129">
        <f t="shared" si="0"/>
        <v>-3866000</v>
      </c>
      <c r="K21" s="129">
        <f t="shared" si="1"/>
        <v>0</v>
      </c>
      <c r="L21" s="129">
        <f t="shared" si="2"/>
        <v>9901000</v>
      </c>
      <c r="M21" s="276">
        <f t="shared" si="3"/>
        <v>6035000</v>
      </c>
      <c r="N21" s="129">
        <f t="shared" si="4"/>
        <v>-3300000</v>
      </c>
      <c r="O21" s="150">
        <f t="shared" si="5"/>
        <v>2735000</v>
      </c>
      <c r="P21" s="313"/>
    </row>
    <row r="22" spans="1:16" s="132" customFormat="1" ht="12.75" customHeight="1">
      <c r="A22" s="251" t="s">
        <v>13</v>
      </c>
      <c r="B22" s="325">
        <v>21625</v>
      </c>
      <c r="C22" s="254">
        <v>343.091666</v>
      </c>
      <c r="D22" s="253">
        <v>2753000</v>
      </c>
      <c r="E22" s="254">
        <v>-892000</v>
      </c>
      <c r="F22" s="253">
        <v>0</v>
      </c>
      <c r="G22" s="254">
        <v>0</v>
      </c>
      <c r="H22" s="253">
        <v>12369000</v>
      </c>
      <c r="I22" s="254">
        <v>244000</v>
      </c>
      <c r="J22" s="129">
        <f t="shared" si="0"/>
        <v>1861000</v>
      </c>
      <c r="K22" s="129">
        <f t="shared" si="1"/>
        <v>0</v>
      </c>
      <c r="L22" s="129">
        <f t="shared" si="2"/>
        <v>12613000</v>
      </c>
      <c r="M22" s="276">
        <f t="shared" si="3"/>
        <v>14474000</v>
      </c>
      <c r="N22" s="129">
        <f t="shared" si="4"/>
        <v>-4204000</v>
      </c>
      <c r="O22" s="150">
        <f t="shared" si="5"/>
        <v>10270000</v>
      </c>
      <c r="P22" s="313"/>
    </row>
    <row r="23" spans="1:16" s="132" customFormat="1" ht="12.75" customHeight="1">
      <c r="A23" s="251" t="s">
        <v>14</v>
      </c>
      <c r="B23" s="325">
        <v>13850</v>
      </c>
      <c r="C23" s="254">
        <v>533.827778</v>
      </c>
      <c r="D23" s="253">
        <v>-1605000</v>
      </c>
      <c r="E23" s="254">
        <v>139000</v>
      </c>
      <c r="F23" s="253">
        <v>22000</v>
      </c>
      <c r="G23" s="254">
        <v>0</v>
      </c>
      <c r="H23" s="253">
        <v>7811000</v>
      </c>
      <c r="I23" s="254">
        <v>304000</v>
      </c>
      <c r="J23" s="129">
        <f t="shared" si="0"/>
        <v>-1466000</v>
      </c>
      <c r="K23" s="129">
        <f t="shared" si="1"/>
        <v>22000</v>
      </c>
      <c r="L23" s="129">
        <f t="shared" si="2"/>
        <v>8115000</v>
      </c>
      <c r="M23" s="276">
        <f t="shared" si="3"/>
        <v>6671000</v>
      </c>
      <c r="N23" s="129">
        <f t="shared" si="4"/>
        <v>-2712000</v>
      </c>
      <c r="O23" s="150">
        <f t="shared" si="5"/>
        <v>3959000</v>
      </c>
      <c r="P23" s="313"/>
    </row>
    <row r="24" spans="1:16" s="132" customFormat="1" ht="12.75" customHeight="1">
      <c r="A24" s="251" t="s">
        <v>15</v>
      </c>
      <c r="B24" s="325">
        <v>25914</v>
      </c>
      <c r="C24" s="254">
        <v>1651.833334</v>
      </c>
      <c r="D24" s="253">
        <v>-1358000</v>
      </c>
      <c r="E24" s="254">
        <v>-793000</v>
      </c>
      <c r="F24" s="253">
        <v>2238000</v>
      </c>
      <c r="G24" s="254">
        <v>182000</v>
      </c>
      <c r="H24" s="253">
        <v>13144000</v>
      </c>
      <c r="I24" s="254">
        <v>927000</v>
      </c>
      <c r="J24" s="129">
        <f t="shared" si="0"/>
        <v>-2151000</v>
      </c>
      <c r="K24" s="129">
        <f t="shared" si="1"/>
        <v>2420000</v>
      </c>
      <c r="L24" s="129">
        <f t="shared" si="2"/>
        <v>14071000</v>
      </c>
      <c r="M24" s="276">
        <f t="shared" si="3"/>
        <v>14340000</v>
      </c>
      <c r="N24" s="129">
        <f t="shared" si="4"/>
        <v>-5497000</v>
      </c>
      <c r="O24" s="150">
        <f t="shared" si="5"/>
        <v>8843000</v>
      </c>
      <c r="P24" s="313"/>
    </row>
    <row r="25" spans="1:16" s="132" customFormat="1" ht="12.75" customHeight="1">
      <c r="A25" s="251" t="s">
        <v>16</v>
      </c>
      <c r="B25" s="325">
        <v>22800</v>
      </c>
      <c r="C25" s="254">
        <v>1573.833333</v>
      </c>
      <c r="D25" s="253">
        <v>-2663000</v>
      </c>
      <c r="E25" s="254">
        <v>-515000</v>
      </c>
      <c r="F25" s="253">
        <v>0</v>
      </c>
      <c r="G25" s="254">
        <v>0</v>
      </c>
      <c r="H25" s="253">
        <v>12726000</v>
      </c>
      <c r="I25" s="254">
        <v>948000</v>
      </c>
      <c r="J25" s="129">
        <f t="shared" si="0"/>
        <v>-3178000</v>
      </c>
      <c r="K25" s="129">
        <f t="shared" si="1"/>
        <v>0</v>
      </c>
      <c r="L25" s="129">
        <f t="shared" si="2"/>
        <v>13674000</v>
      </c>
      <c r="M25" s="276">
        <f t="shared" si="3"/>
        <v>10496000</v>
      </c>
      <c r="N25" s="129">
        <f t="shared" si="4"/>
        <v>-4558000</v>
      </c>
      <c r="O25" s="150">
        <f t="shared" si="5"/>
        <v>5938000</v>
      </c>
      <c r="P25" s="313"/>
    </row>
    <row r="26" spans="1:16" s="132" customFormat="1" ht="12.75" customHeight="1">
      <c r="A26" s="251" t="s">
        <v>17</v>
      </c>
      <c r="B26" s="325">
        <v>21045</v>
      </c>
      <c r="C26" s="254">
        <v>1230.829167</v>
      </c>
      <c r="D26" s="253">
        <v>-2285000</v>
      </c>
      <c r="E26" s="254">
        <v>-1487000</v>
      </c>
      <c r="F26" s="253">
        <v>0</v>
      </c>
      <c r="G26" s="254">
        <v>0</v>
      </c>
      <c r="H26" s="253">
        <v>12529000</v>
      </c>
      <c r="I26" s="254">
        <v>875000</v>
      </c>
      <c r="J26" s="129">
        <f t="shared" si="0"/>
        <v>-3772000</v>
      </c>
      <c r="K26" s="129">
        <f t="shared" si="1"/>
        <v>0</v>
      </c>
      <c r="L26" s="129">
        <f t="shared" si="2"/>
        <v>13404000</v>
      </c>
      <c r="M26" s="276">
        <f t="shared" si="3"/>
        <v>9632000</v>
      </c>
      <c r="N26" s="129">
        <f t="shared" si="4"/>
        <v>-4468000</v>
      </c>
      <c r="O26" s="150">
        <f t="shared" si="5"/>
        <v>5164000</v>
      </c>
      <c r="P26" s="313"/>
    </row>
    <row r="27" spans="1:16" s="132" customFormat="1" ht="12.75" customHeight="1">
      <c r="A27" s="251" t="s">
        <v>18</v>
      </c>
      <c r="B27" s="325">
        <v>16000</v>
      </c>
      <c r="C27" s="254">
        <v>1034.555555</v>
      </c>
      <c r="D27" s="253">
        <v>159000</v>
      </c>
      <c r="E27" s="254">
        <v>1391000</v>
      </c>
      <c r="F27" s="253">
        <v>0</v>
      </c>
      <c r="G27" s="254">
        <v>0</v>
      </c>
      <c r="H27" s="253">
        <v>8135000</v>
      </c>
      <c r="I27" s="254">
        <v>538000</v>
      </c>
      <c r="J27" s="129">
        <f t="shared" si="0"/>
        <v>1550000</v>
      </c>
      <c r="K27" s="129">
        <f t="shared" si="1"/>
        <v>0</v>
      </c>
      <c r="L27" s="129">
        <f t="shared" si="2"/>
        <v>8673000</v>
      </c>
      <c r="M27" s="276">
        <f t="shared" si="3"/>
        <v>10223000</v>
      </c>
      <c r="N27" s="129">
        <f t="shared" si="4"/>
        <v>-2891000</v>
      </c>
      <c r="O27" s="150">
        <f t="shared" si="5"/>
        <v>7332000</v>
      </c>
      <c r="P27" s="313"/>
    </row>
    <row r="28" spans="1:16" s="132" customFormat="1" ht="12.75" customHeight="1">
      <c r="A28" s="251" t="s">
        <v>19</v>
      </c>
      <c r="B28" s="325">
        <v>7400</v>
      </c>
      <c r="C28" s="254">
        <v>127.366667</v>
      </c>
      <c r="D28" s="253">
        <v>-710000</v>
      </c>
      <c r="E28" s="254">
        <v>124000</v>
      </c>
      <c r="F28" s="253">
        <v>0</v>
      </c>
      <c r="G28" s="254">
        <v>0</v>
      </c>
      <c r="H28" s="253">
        <v>4385000</v>
      </c>
      <c r="I28" s="254">
        <v>77000</v>
      </c>
      <c r="J28" s="129">
        <f t="shared" si="0"/>
        <v>-586000</v>
      </c>
      <c r="K28" s="129">
        <f t="shared" si="1"/>
        <v>0</v>
      </c>
      <c r="L28" s="129">
        <f t="shared" si="2"/>
        <v>4462000</v>
      </c>
      <c r="M28" s="276">
        <f t="shared" si="3"/>
        <v>3876000</v>
      </c>
      <c r="N28" s="129">
        <f t="shared" si="4"/>
        <v>-1487000</v>
      </c>
      <c r="O28" s="150">
        <f t="shared" si="5"/>
        <v>2389000</v>
      </c>
      <c r="P28" s="313"/>
    </row>
    <row r="29" spans="1:16" s="132" customFormat="1" ht="12.75" customHeight="1">
      <c r="A29" s="251" t="s">
        <v>20</v>
      </c>
      <c r="B29" s="325">
        <v>7450</v>
      </c>
      <c r="C29" s="254">
        <v>72.766667</v>
      </c>
      <c r="D29" s="253">
        <v>-890000</v>
      </c>
      <c r="E29" s="254">
        <v>-63000</v>
      </c>
      <c r="F29" s="253">
        <v>0</v>
      </c>
      <c r="G29" s="254">
        <v>0</v>
      </c>
      <c r="H29" s="253">
        <v>3929000</v>
      </c>
      <c r="I29" s="254">
        <v>41000</v>
      </c>
      <c r="J29" s="129">
        <f t="shared" si="0"/>
        <v>-953000</v>
      </c>
      <c r="K29" s="129">
        <f t="shared" si="1"/>
        <v>0</v>
      </c>
      <c r="L29" s="129">
        <f t="shared" si="2"/>
        <v>3970000</v>
      </c>
      <c r="M29" s="276">
        <f t="shared" si="3"/>
        <v>3017000</v>
      </c>
      <c r="N29" s="129">
        <f t="shared" si="4"/>
        <v>-1323000</v>
      </c>
      <c r="O29" s="150">
        <f t="shared" si="5"/>
        <v>1694000</v>
      </c>
      <c r="P29" s="313"/>
    </row>
    <row r="30" spans="1:16" s="132" customFormat="1" ht="12.75" customHeight="1">
      <c r="A30" s="251" t="s">
        <v>21</v>
      </c>
      <c r="B30" s="325">
        <v>6715</v>
      </c>
      <c r="C30" s="254">
        <v>122.266667</v>
      </c>
      <c r="D30" s="253">
        <v>0</v>
      </c>
      <c r="E30" s="254">
        <v>137000</v>
      </c>
      <c r="F30" s="253">
        <v>0</v>
      </c>
      <c r="G30" s="254">
        <v>0</v>
      </c>
      <c r="H30" s="253">
        <v>3951000</v>
      </c>
      <c r="I30" s="254">
        <v>72000</v>
      </c>
      <c r="J30" s="129">
        <f t="shared" si="0"/>
        <v>137000</v>
      </c>
      <c r="K30" s="129">
        <f t="shared" si="1"/>
        <v>0</v>
      </c>
      <c r="L30" s="129">
        <f t="shared" si="2"/>
        <v>4023000</v>
      </c>
      <c r="M30" s="276">
        <f t="shared" si="3"/>
        <v>4160000</v>
      </c>
      <c r="N30" s="129">
        <f t="shared" si="4"/>
        <v>-1341000</v>
      </c>
      <c r="O30" s="150">
        <f t="shared" si="5"/>
        <v>2819000</v>
      </c>
      <c r="P30" s="313"/>
    </row>
    <row r="31" spans="1:16" s="132" customFormat="1" ht="6" customHeight="1">
      <c r="A31" s="251"/>
      <c r="B31" s="253"/>
      <c r="C31" s="254"/>
      <c r="D31" s="253"/>
      <c r="E31" s="254"/>
      <c r="F31" s="253"/>
      <c r="G31" s="254"/>
      <c r="H31" s="253"/>
      <c r="I31" s="305"/>
      <c r="J31" s="252"/>
      <c r="K31" s="252"/>
      <c r="L31" s="252"/>
      <c r="M31" s="277"/>
      <c r="N31" s="252"/>
      <c r="O31" s="305"/>
      <c r="P31" s="313"/>
    </row>
    <row r="32" spans="1:16" s="132" customFormat="1" ht="12.75">
      <c r="A32" s="255" t="s">
        <v>22</v>
      </c>
      <c r="B32" s="257">
        <f aca="true" t="shared" si="6" ref="B32:I32">SUM(B8:B30)</f>
        <v>330440</v>
      </c>
      <c r="C32" s="326">
        <f t="shared" si="6"/>
        <v>13561.445834</v>
      </c>
      <c r="D32" s="332">
        <f t="shared" si="6"/>
        <v>-16202000</v>
      </c>
      <c r="E32" s="258">
        <f t="shared" si="6"/>
        <v>-5345000</v>
      </c>
      <c r="F32" s="332">
        <f t="shared" si="6"/>
        <v>2925000</v>
      </c>
      <c r="G32" s="256">
        <f t="shared" si="6"/>
        <v>194000</v>
      </c>
      <c r="H32" s="332">
        <f t="shared" si="6"/>
        <v>185263000</v>
      </c>
      <c r="I32" s="256">
        <f t="shared" si="6"/>
        <v>8203000</v>
      </c>
      <c r="J32" s="332">
        <f>SUM(J8:J30)</f>
        <v>-21547000</v>
      </c>
      <c r="K32" s="256">
        <f>SUM(K8:K30)</f>
        <v>3119000</v>
      </c>
      <c r="L32" s="256">
        <f>SUM(L8:L30)</f>
        <v>193466000</v>
      </c>
      <c r="M32" s="278">
        <f>SUM(M8:M30)</f>
        <v>175038000</v>
      </c>
      <c r="N32" s="256">
        <f>SUM(N8:N30)</f>
        <v>-65526000</v>
      </c>
      <c r="O32" s="258">
        <f>SUM(O8:O30)</f>
        <v>109512000</v>
      </c>
      <c r="P32" s="313"/>
    </row>
    <row r="33" spans="1:16" s="132" customFormat="1" ht="6" customHeight="1">
      <c r="A33" s="259"/>
      <c r="B33" s="253"/>
      <c r="C33" s="254"/>
      <c r="D33" s="333"/>
      <c r="E33" s="261"/>
      <c r="F33" s="333"/>
      <c r="G33" s="261"/>
      <c r="H33" s="333"/>
      <c r="I33" s="305"/>
      <c r="J33" s="260"/>
      <c r="K33" s="260"/>
      <c r="L33" s="260"/>
      <c r="M33" s="279"/>
      <c r="N33" s="260"/>
      <c r="O33" s="305"/>
      <c r="P33" s="313"/>
    </row>
    <row r="34" spans="1:16" s="132" customFormat="1" ht="12.75" customHeight="1">
      <c r="A34" s="262" t="s">
        <v>23</v>
      </c>
      <c r="B34" s="253">
        <v>0</v>
      </c>
      <c r="C34" s="254">
        <v>0</v>
      </c>
      <c r="D34" s="253">
        <v>0</v>
      </c>
      <c r="E34" s="254">
        <v>0</v>
      </c>
      <c r="F34" s="253">
        <v>0</v>
      </c>
      <c r="G34" s="254">
        <v>0</v>
      </c>
      <c r="H34" s="253">
        <v>0</v>
      </c>
      <c r="I34" s="254">
        <v>0</v>
      </c>
      <c r="J34" s="129">
        <f>D34+E34</f>
        <v>0</v>
      </c>
      <c r="K34" s="129">
        <f>F34+G34</f>
        <v>0</v>
      </c>
      <c r="L34" s="129">
        <f>H34+I34</f>
        <v>0</v>
      </c>
      <c r="M34" s="276">
        <f>J34+K34+L34</f>
        <v>0</v>
      </c>
      <c r="N34" s="129">
        <f>-ROUND((K34+L34)/3/1000,0)*1000</f>
        <v>0</v>
      </c>
      <c r="O34" s="150">
        <f>M34+N34</f>
        <v>0</v>
      </c>
      <c r="P34" s="313"/>
    </row>
    <row r="35" spans="1:16" s="132" customFormat="1" ht="12.75" customHeight="1">
      <c r="A35" s="251" t="s">
        <v>29</v>
      </c>
      <c r="B35" s="253">
        <v>600</v>
      </c>
      <c r="C35" s="254">
        <v>0</v>
      </c>
      <c r="D35" s="253">
        <v>27000</v>
      </c>
      <c r="E35" s="254">
        <v>0</v>
      </c>
      <c r="F35" s="253">
        <v>290000</v>
      </c>
      <c r="G35" s="254">
        <v>0</v>
      </c>
      <c r="H35" s="253">
        <v>380000</v>
      </c>
      <c r="I35" s="254">
        <v>0</v>
      </c>
      <c r="J35" s="129">
        <f>D35+E35</f>
        <v>27000</v>
      </c>
      <c r="K35" s="129">
        <f>F35+G35</f>
        <v>290000</v>
      </c>
      <c r="L35" s="129">
        <f>H35+I35</f>
        <v>380000</v>
      </c>
      <c r="M35" s="276">
        <f>J35+K35+L35</f>
        <v>697000</v>
      </c>
      <c r="N35" s="129">
        <f>-ROUND((K35+L35)/3/1000,0)*1000+3000</f>
        <v>-220000</v>
      </c>
      <c r="O35" s="150">
        <f>M35+N35</f>
        <v>477000</v>
      </c>
      <c r="P35" s="313"/>
    </row>
    <row r="36" spans="1:16" s="132" customFormat="1" ht="12.75" customHeight="1">
      <c r="A36" s="251" t="s">
        <v>24</v>
      </c>
      <c r="B36" s="253">
        <v>625</v>
      </c>
      <c r="C36" s="254">
        <v>8.8</v>
      </c>
      <c r="D36" s="253">
        <v>228000</v>
      </c>
      <c r="E36" s="254">
        <v>11000</v>
      </c>
      <c r="F36" s="253">
        <v>91000</v>
      </c>
      <c r="G36" s="254">
        <v>1000</v>
      </c>
      <c r="H36" s="253">
        <v>232000</v>
      </c>
      <c r="I36" s="254">
        <v>4000</v>
      </c>
      <c r="J36" s="129">
        <f>D36+E36</f>
        <v>239000</v>
      </c>
      <c r="K36" s="129">
        <f>F36+G36</f>
        <v>92000</v>
      </c>
      <c r="L36" s="129">
        <f>H36+I36</f>
        <v>236000</v>
      </c>
      <c r="M36" s="276">
        <f>J36+K36+L36</f>
        <v>567000</v>
      </c>
      <c r="N36" s="129">
        <f>-ROUND((K36+L36)/3/1000,0)*1000</f>
        <v>-109000</v>
      </c>
      <c r="O36" s="150">
        <f>M36+N36</f>
        <v>458000</v>
      </c>
      <c r="P36" s="313"/>
    </row>
    <row r="37" spans="1:16" s="132" customFormat="1" ht="12.75" customHeight="1">
      <c r="A37" s="251" t="s">
        <v>25</v>
      </c>
      <c r="B37" s="253">
        <v>51</v>
      </c>
      <c r="C37" s="254">
        <v>2.966667</v>
      </c>
      <c r="D37" s="253">
        <v>4000</v>
      </c>
      <c r="E37" s="254">
        <v>2000</v>
      </c>
      <c r="F37" s="253">
        <v>130000</v>
      </c>
      <c r="G37" s="254">
        <v>8000</v>
      </c>
      <c r="H37" s="253">
        <v>0</v>
      </c>
      <c r="I37" s="254">
        <v>0</v>
      </c>
      <c r="J37" s="129">
        <f>D37+E37</f>
        <v>6000</v>
      </c>
      <c r="K37" s="129">
        <f>F37+G37</f>
        <v>138000</v>
      </c>
      <c r="L37" s="129">
        <f>H37+I37</f>
        <v>0</v>
      </c>
      <c r="M37" s="276">
        <f>J37+K37+L37</f>
        <v>144000</v>
      </c>
      <c r="N37" s="129">
        <f>-ROUND((K37+L37)/3/1000,0)*1000+1000</f>
        <v>-45000</v>
      </c>
      <c r="O37" s="150">
        <f>M37+N37</f>
        <v>99000</v>
      </c>
      <c r="P37" s="313"/>
    </row>
    <row r="38" spans="1:16" s="132" customFormat="1" ht="12.75" customHeight="1">
      <c r="A38" s="263" t="s">
        <v>26</v>
      </c>
      <c r="B38" s="253">
        <v>0</v>
      </c>
      <c r="C38" s="254">
        <v>0</v>
      </c>
      <c r="D38" s="253">
        <v>0</v>
      </c>
      <c r="E38" s="254">
        <v>0</v>
      </c>
      <c r="F38" s="253">
        <v>0</v>
      </c>
      <c r="G38" s="254">
        <v>0</v>
      </c>
      <c r="H38" s="253">
        <v>0</v>
      </c>
      <c r="I38" s="254">
        <v>0</v>
      </c>
      <c r="J38" s="129">
        <f>D38+E38</f>
        <v>0</v>
      </c>
      <c r="K38" s="129">
        <f>F38+G38</f>
        <v>0</v>
      </c>
      <c r="L38" s="129">
        <f>H38+I38</f>
        <v>0</v>
      </c>
      <c r="M38" s="276">
        <f>J38+K38+L38</f>
        <v>0</v>
      </c>
      <c r="N38" s="129">
        <f>-ROUND((K38+L38)/3/1000,0)*1000</f>
        <v>0</v>
      </c>
      <c r="O38" s="150">
        <f>M38+N38</f>
        <v>0</v>
      </c>
      <c r="P38" s="313"/>
    </row>
    <row r="39" spans="1:16" s="132" customFormat="1" ht="6" customHeight="1">
      <c r="A39" s="263"/>
      <c r="B39" s="253"/>
      <c r="C39" s="254"/>
      <c r="D39" s="253"/>
      <c r="E39" s="254"/>
      <c r="F39" s="253"/>
      <c r="G39" s="254"/>
      <c r="H39" s="253"/>
      <c r="I39" s="305"/>
      <c r="J39" s="252"/>
      <c r="K39" s="252"/>
      <c r="L39" s="252"/>
      <c r="M39" s="277"/>
      <c r="N39" s="252"/>
      <c r="O39" s="254"/>
      <c r="P39" s="313"/>
    </row>
    <row r="40" spans="1:16" s="132" customFormat="1" ht="6" customHeight="1">
      <c r="A40" s="263"/>
      <c r="B40" s="253"/>
      <c r="C40" s="254"/>
      <c r="D40" s="253"/>
      <c r="E40" s="254"/>
      <c r="F40" s="253"/>
      <c r="G40" s="254"/>
      <c r="H40" s="253"/>
      <c r="I40" s="305"/>
      <c r="J40" s="252"/>
      <c r="K40" s="252"/>
      <c r="L40" s="252"/>
      <c r="M40" s="280"/>
      <c r="N40" s="264"/>
      <c r="O40" s="337"/>
      <c r="P40" s="313"/>
    </row>
    <row r="41" spans="1:16" s="132" customFormat="1" ht="13.5" thickBot="1">
      <c r="A41" s="265" t="s">
        <v>34</v>
      </c>
      <c r="B41" s="267">
        <f aca="true" t="shared" si="7" ref="B41:G41">SUM(B32:B38)</f>
        <v>331716</v>
      </c>
      <c r="C41" s="327">
        <f t="shared" si="7"/>
        <v>13573.212501</v>
      </c>
      <c r="D41" s="334">
        <f t="shared" si="7"/>
        <v>-15943000</v>
      </c>
      <c r="E41" s="268">
        <f t="shared" si="7"/>
        <v>-5332000</v>
      </c>
      <c r="F41" s="334">
        <f t="shared" si="7"/>
        <v>3436000</v>
      </c>
      <c r="G41" s="266">
        <f t="shared" si="7"/>
        <v>203000</v>
      </c>
      <c r="H41" s="334">
        <f>SUM(H32:H38)</f>
        <v>185875000</v>
      </c>
      <c r="I41" s="266">
        <f>SUM(I32:I38)</f>
        <v>8207000</v>
      </c>
      <c r="J41" s="334">
        <f>SUM(J32:J38)</f>
        <v>-21275000</v>
      </c>
      <c r="K41" s="266">
        <f>SUM(K32:K38)</f>
        <v>3639000</v>
      </c>
      <c r="L41" s="266">
        <f>SUM(L32:L38)</f>
        <v>194082000</v>
      </c>
      <c r="M41" s="334">
        <f>SUM(M32:M38)</f>
        <v>176446000</v>
      </c>
      <c r="N41" s="269">
        <f>SUM(N32:N38)</f>
        <v>-65900000</v>
      </c>
      <c r="O41" s="268">
        <f>SUM(O32:O38)</f>
        <v>110546000</v>
      </c>
      <c r="P41" s="313"/>
    </row>
    <row r="42" ht="6" customHeight="1"/>
    <row r="43" spans="2:15" ht="16.5" customHeight="1">
      <c r="B43" s="131" t="s">
        <v>75</v>
      </c>
      <c r="C43" s="131"/>
      <c r="D43" s="131"/>
      <c r="E43" s="132"/>
      <c r="F43" s="132"/>
      <c r="H43" s="134"/>
      <c r="I43" s="132"/>
      <c r="J43" s="132"/>
      <c r="L43" s="133"/>
      <c r="O43" s="127"/>
    </row>
    <row r="44" spans="2:14" s="136" customFormat="1" ht="16.5" customHeight="1">
      <c r="B44" s="131" t="s">
        <v>105</v>
      </c>
      <c r="C44" s="131"/>
      <c r="D44" s="131"/>
      <c r="E44" s="137"/>
      <c r="F44" s="137"/>
      <c r="H44" s="137"/>
      <c r="I44" s="138"/>
      <c r="J44" s="138"/>
      <c r="L44" s="137"/>
      <c r="N44" s="139"/>
    </row>
    <row r="45" spans="5:12" s="136" customFormat="1" ht="16.5" customHeight="1">
      <c r="E45" s="140"/>
      <c r="F45" s="140"/>
      <c r="G45" s="140"/>
      <c r="H45" s="140"/>
      <c r="I45" s="140"/>
      <c r="J45" s="140"/>
      <c r="K45" s="140"/>
      <c r="L45" s="140"/>
    </row>
    <row r="46" spans="5:12" s="136" customFormat="1" ht="16.5" customHeight="1">
      <c r="E46" s="137"/>
      <c r="F46" s="137"/>
      <c r="G46" s="138"/>
      <c r="H46" s="137"/>
      <c r="I46" s="138"/>
      <c r="J46" s="138"/>
      <c r="K46" s="138"/>
      <c r="L46" s="137"/>
    </row>
    <row r="47" s="141" customFormat="1" ht="18.75" customHeight="1">
      <c r="H47" s="142"/>
    </row>
    <row r="48" spans="2:13" s="141" customFormat="1" ht="18.75" customHeight="1">
      <c r="B48" s="142"/>
      <c r="C48" s="142"/>
      <c r="D48" s="142"/>
      <c r="E48" s="142"/>
      <c r="F48" s="142"/>
      <c r="G48" s="142"/>
      <c r="H48" s="143"/>
      <c r="K48" s="142"/>
      <c r="L48" s="143"/>
      <c r="M48" s="142"/>
    </row>
    <row r="49" spans="7:8" ht="15">
      <c r="G49" s="135"/>
      <c r="H49" s="135"/>
    </row>
    <row r="50" spans="2:8" ht="15">
      <c r="B50" s="127"/>
      <c r="C50" s="127"/>
      <c r="D50" s="127"/>
      <c r="E50" s="127"/>
      <c r="F50" s="127"/>
      <c r="G50" s="127"/>
      <c r="H50" s="127"/>
    </row>
  </sheetData>
  <sheetProtection/>
  <mergeCells count="5">
    <mergeCell ref="J4:L4"/>
    <mergeCell ref="M4:O4"/>
    <mergeCell ref="D5:E5"/>
    <mergeCell ref="F5:G5"/>
    <mergeCell ref="H5:I5"/>
  </mergeCells>
  <printOptions/>
  <pageMargins left="0.43" right="0.12" top="0.59" bottom="0.25" header="0.3" footer="0.3"/>
  <pageSetup fitToHeight="1" fitToWidth="1" horizontalDpi="600" verticalDpi="600" orientation="landscape" paperSize="5" scale="7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Q5" sqref="Q5"/>
    </sheetView>
  </sheetViews>
  <sheetFormatPr defaultColWidth="9.33203125" defaultRowHeight="12.75"/>
  <cols>
    <col min="1" max="1" width="23.83203125" style="117" customWidth="1"/>
    <col min="2" max="2" width="16.83203125" style="117" customWidth="1"/>
    <col min="3" max="3" width="3.33203125" style="117" customWidth="1"/>
    <col min="4" max="4" width="14.83203125" style="117" customWidth="1"/>
    <col min="5" max="5" width="3.33203125" style="117" customWidth="1"/>
    <col min="6" max="6" width="16.83203125" style="117" customWidth="1"/>
    <col min="7" max="7" width="3.33203125" style="117" customWidth="1"/>
    <col min="8" max="8" width="13.66015625" style="117" customWidth="1"/>
    <col min="9" max="10" width="3.33203125" style="117" customWidth="1"/>
    <col min="11" max="11" width="13.83203125" style="117" customWidth="1"/>
    <col min="12" max="12" width="3.33203125" style="117" customWidth="1"/>
    <col min="13" max="13" width="4.83203125" style="117" customWidth="1"/>
    <col min="14" max="14" width="13.83203125" style="117" customWidth="1"/>
    <col min="15" max="15" width="4.83203125" style="117" customWidth="1"/>
    <col min="16" max="16" width="16.83203125" style="117" customWidth="1"/>
    <col min="17" max="222" width="8.83203125" style="117" customWidth="1"/>
    <col min="223" max="223" width="24.16015625" style="117" customWidth="1"/>
    <col min="224" max="226" width="16.5" style="117" customWidth="1"/>
    <col min="227" max="227" width="18" style="117" customWidth="1"/>
    <col min="228" max="228" width="16.5" style="117" customWidth="1"/>
    <col min="229" max="229" width="4" style="117" customWidth="1"/>
    <col min="230" max="232" width="9.33203125" style="117" customWidth="1"/>
    <col min="233" max="233" width="22.5" style="117" customWidth="1"/>
    <col min="234" max="234" width="3.83203125" style="117" customWidth="1"/>
    <col min="235" max="235" width="16.5" style="117" customWidth="1"/>
    <col min="236" max="236" width="17.33203125" style="117" customWidth="1"/>
    <col min="237" max="240" width="16.5" style="117" customWidth="1"/>
    <col min="241" max="242" width="9.33203125" style="117" customWidth="1"/>
    <col min="243" max="243" width="18.83203125" style="117" customWidth="1"/>
    <col min="244" max="244" width="16.5" style="117" customWidth="1"/>
    <col min="245" max="245" width="17.83203125" style="117" customWidth="1"/>
    <col min="246" max="248" width="16.5" style="117" customWidth="1"/>
    <col min="249" max="249" width="17.83203125" style="117" bestFit="1" customWidth="1"/>
    <col min="250" max="250" width="16.5" style="117" customWidth="1"/>
    <col min="251" max="251" width="21" style="117" customWidth="1"/>
    <col min="252" max="252" width="16.5" style="117" customWidth="1"/>
    <col min="253" max="253" width="18.33203125" style="117" bestFit="1" customWidth="1"/>
    <col min="254" max="254" width="19.16015625" style="117" customWidth="1"/>
    <col min="255" max="16384" width="18.33203125" style="117" customWidth="1"/>
  </cols>
  <sheetData>
    <row r="1" spans="1:16" s="113" customFormat="1" ht="18.75" customHeight="1">
      <c r="A1" s="112" t="s">
        <v>166</v>
      </c>
      <c r="H1" s="144"/>
      <c r="I1" s="144"/>
      <c r="J1" s="144"/>
      <c r="P1" s="146"/>
    </row>
    <row r="2" s="114" customFormat="1" ht="6" customHeight="1">
      <c r="A2" s="147"/>
    </row>
    <row r="3" spans="1:17" ht="15.75" customHeight="1" thickBot="1">
      <c r="A3" s="116"/>
      <c r="B3" s="311" t="s">
        <v>99</v>
      </c>
      <c r="C3" s="311"/>
      <c r="D3" s="311" t="s">
        <v>91</v>
      </c>
      <c r="E3" s="311"/>
      <c r="F3" s="311" t="s">
        <v>92</v>
      </c>
      <c r="G3" s="311"/>
      <c r="H3" s="311" t="s">
        <v>66</v>
      </c>
      <c r="I3" s="311"/>
      <c r="J3" s="311"/>
      <c r="K3" s="311" t="s">
        <v>67</v>
      </c>
      <c r="L3" s="311"/>
      <c r="M3" s="311"/>
      <c r="N3" s="311">
        <v>-6</v>
      </c>
      <c r="O3" s="311"/>
      <c r="P3" s="311">
        <v>-7</v>
      </c>
      <c r="Q3" s="113"/>
    </row>
    <row r="4" spans="1:17" ht="16.5" thickBot="1">
      <c r="A4" s="365"/>
      <c r="B4" s="445" t="s">
        <v>161</v>
      </c>
      <c r="C4" s="446"/>
      <c r="D4" s="446"/>
      <c r="E4" s="446"/>
      <c r="F4" s="446"/>
      <c r="G4" s="442" t="s">
        <v>146</v>
      </c>
      <c r="H4" s="443"/>
      <c r="I4" s="443"/>
      <c r="J4" s="443"/>
      <c r="K4" s="443"/>
      <c r="L4" s="443"/>
      <c r="M4" s="443"/>
      <c r="N4" s="443"/>
      <c r="O4" s="444"/>
      <c r="P4" s="440" t="s">
        <v>172</v>
      </c>
      <c r="Q4" s="113"/>
    </row>
    <row r="5" spans="1:17" s="120" customFormat="1" ht="99.75" customHeight="1" thickBot="1">
      <c r="A5" s="361"/>
      <c r="B5" s="374" t="s">
        <v>119</v>
      </c>
      <c r="C5" s="447" t="s">
        <v>165</v>
      </c>
      <c r="D5" s="447"/>
      <c r="E5" s="447"/>
      <c r="F5" s="375" t="s">
        <v>162</v>
      </c>
      <c r="G5" s="448" t="s">
        <v>171</v>
      </c>
      <c r="H5" s="449"/>
      <c r="I5" s="449"/>
      <c r="J5" s="449" t="s">
        <v>163</v>
      </c>
      <c r="K5" s="449"/>
      <c r="L5" s="450"/>
      <c r="M5" s="434" t="s">
        <v>164</v>
      </c>
      <c r="N5" s="435"/>
      <c r="O5" s="436"/>
      <c r="P5" s="441"/>
      <c r="Q5" s="312"/>
    </row>
    <row r="6" spans="1:17" s="161" customFormat="1" ht="11.25">
      <c r="A6" s="323"/>
      <c r="B6" s="371" t="s">
        <v>109</v>
      </c>
      <c r="C6" s="439" t="s">
        <v>121</v>
      </c>
      <c r="D6" s="439"/>
      <c r="E6" s="439"/>
      <c r="F6" s="339" t="s">
        <v>116</v>
      </c>
      <c r="G6" s="381"/>
      <c r="H6" s="160" t="s">
        <v>117</v>
      </c>
      <c r="I6" s="160"/>
      <c r="J6" s="160"/>
      <c r="K6" s="160" t="s">
        <v>118</v>
      </c>
      <c r="L6" s="382"/>
      <c r="M6" s="160"/>
      <c r="N6" s="376" t="s">
        <v>147</v>
      </c>
      <c r="O6" s="376"/>
      <c r="P6" s="359" t="s">
        <v>122</v>
      </c>
      <c r="Q6" s="158"/>
    </row>
    <row r="7" spans="1:17" s="124" customFormat="1" ht="6" customHeight="1">
      <c r="A7" s="123"/>
      <c r="B7" s="123"/>
      <c r="C7" s="122"/>
      <c r="D7" s="122"/>
      <c r="E7" s="122"/>
      <c r="F7" s="148"/>
      <c r="G7" s="123"/>
      <c r="H7" s="122"/>
      <c r="I7" s="122"/>
      <c r="J7" s="122"/>
      <c r="K7" s="122"/>
      <c r="L7" s="148"/>
      <c r="M7" s="122"/>
      <c r="N7" s="377"/>
      <c r="O7" s="377"/>
      <c r="P7" s="121"/>
      <c r="Q7" s="122"/>
    </row>
    <row r="8" spans="1:17" ht="13.5" customHeight="1">
      <c r="A8" s="331" t="s">
        <v>0</v>
      </c>
      <c r="B8" s="331">
        <f>'(A) Budget Summary'!E9</f>
        <v>39960033</v>
      </c>
      <c r="C8" s="126"/>
      <c r="D8" s="126">
        <f>'(D) Tuition Fee Revenue'!K8+'(D) Tuition Fee Revenue'!L8</f>
        <v>3910000</v>
      </c>
      <c r="E8" s="126"/>
      <c r="F8" s="149">
        <f aca="true" t="shared" si="0" ref="F8:F30">B8+D8</f>
        <v>43870033</v>
      </c>
      <c r="G8" s="331"/>
      <c r="H8" s="126">
        <f>-'(F) Tuit Fee Discounts'!C8</f>
        <v>-15817300</v>
      </c>
      <c r="I8" s="126"/>
      <c r="J8" s="126"/>
      <c r="K8" s="126">
        <f>'(D) Tuition Fee Revenue'!N8</f>
        <v>-1303000</v>
      </c>
      <c r="L8" s="149"/>
      <c r="M8" s="126"/>
      <c r="N8" s="378">
        <f>K8--'(F) Tuit Fee Discounts'!L8</f>
        <v>903300</v>
      </c>
      <c r="O8" s="378"/>
      <c r="P8" s="125">
        <f aca="true" t="shared" si="1" ref="P8:P30">H8+K8</f>
        <v>-17120300</v>
      </c>
      <c r="Q8" s="113"/>
    </row>
    <row r="9" spans="1:17" ht="13.5" customHeight="1">
      <c r="A9" s="130" t="s">
        <v>1</v>
      </c>
      <c r="B9" s="130">
        <f>'(A) Budget Summary'!E10</f>
        <v>19499000</v>
      </c>
      <c r="C9" s="129"/>
      <c r="D9" s="129">
        <f>'(D) Tuition Fee Revenue'!K9+'(D) Tuition Fee Revenue'!L9</f>
        <v>1815000</v>
      </c>
      <c r="E9" s="129"/>
      <c r="F9" s="150">
        <f t="shared" si="0"/>
        <v>21314000</v>
      </c>
      <c r="G9" s="130"/>
      <c r="H9" s="129">
        <f>-'(F) Tuit Fee Discounts'!C9</f>
        <v>-6215700</v>
      </c>
      <c r="I9" s="129"/>
      <c r="J9" s="129"/>
      <c r="K9" s="129">
        <f>'(D) Tuition Fee Revenue'!N9</f>
        <v>-605000</v>
      </c>
      <c r="L9" s="150"/>
      <c r="M9" s="129"/>
      <c r="N9" s="379">
        <f>K9--'(F) Tuit Fee Discounts'!L9</f>
        <v>-115500</v>
      </c>
      <c r="O9" s="379"/>
      <c r="P9" s="128">
        <f t="shared" si="1"/>
        <v>-6820700</v>
      </c>
      <c r="Q9" s="113"/>
    </row>
    <row r="10" spans="1:17" ht="13.5" customHeight="1">
      <c r="A10" s="130" t="s">
        <v>2</v>
      </c>
      <c r="B10" s="130">
        <f>'(A) Budget Summary'!E11</f>
        <v>81524000</v>
      </c>
      <c r="C10" s="129"/>
      <c r="D10" s="129">
        <f>'(D) Tuition Fee Revenue'!K10+'(D) Tuition Fee Revenue'!L10</f>
        <v>7583000</v>
      </c>
      <c r="E10" s="129"/>
      <c r="F10" s="150">
        <f t="shared" si="0"/>
        <v>89107000</v>
      </c>
      <c r="G10" s="130"/>
      <c r="H10" s="129">
        <f>-'(F) Tuit Fee Discounts'!C10</f>
        <v>-22678800</v>
      </c>
      <c r="I10" s="129"/>
      <c r="J10" s="129"/>
      <c r="K10" s="129">
        <f>'(D) Tuition Fee Revenue'!N10</f>
        <v>-2528000</v>
      </c>
      <c r="L10" s="150"/>
      <c r="M10" s="129"/>
      <c r="N10" s="379">
        <f>K10--'(F) Tuit Fee Discounts'!L10</f>
        <v>-310200</v>
      </c>
      <c r="O10" s="379"/>
      <c r="P10" s="128">
        <f t="shared" si="1"/>
        <v>-25206800</v>
      </c>
      <c r="Q10" s="113"/>
    </row>
    <row r="11" spans="1:17" ht="13.5" customHeight="1">
      <c r="A11" s="130" t="s">
        <v>3</v>
      </c>
      <c r="B11" s="130">
        <f>'(A) Budget Summary'!E12</f>
        <v>60718122</v>
      </c>
      <c r="C11" s="129"/>
      <c r="D11" s="129">
        <f>'(D) Tuition Fee Revenue'!K11+'(D) Tuition Fee Revenue'!L11</f>
        <v>5861000</v>
      </c>
      <c r="E11" s="129"/>
      <c r="F11" s="150">
        <f t="shared" si="0"/>
        <v>66579122</v>
      </c>
      <c r="G11" s="130"/>
      <c r="H11" s="129">
        <f>-'(F) Tuit Fee Discounts'!C11</f>
        <v>-28907000</v>
      </c>
      <c r="I11" s="129"/>
      <c r="J11" s="129"/>
      <c r="K11" s="129">
        <f>'(D) Tuition Fee Revenue'!N11</f>
        <v>-1954000</v>
      </c>
      <c r="L11" s="150"/>
      <c r="M11" s="129"/>
      <c r="N11" s="379">
        <f>K11--'(F) Tuit Fee Discounts'!L11</f>
        <v>113200</v>
      </c>
      <c r="O11" s="379"/>
      <c r="P11" s="128">
        <f t="shared" si="1"/>
        <v>-30861000</v>
      </c>
      <c r="Q11" s="113"/>
    </row>
    <row r="12" spans="1:17" ht="13.5" customHeight="1">
      <c r="A12" s="130" t="s">
        <v>28</v>
      </c>
      <c r="B12" s="130">
        <f>'(A) Budget Summary'!E13</f>
        <v>76533000</v>
      </c>
      <c r="C12" s="129"/>
      <c r="D12" s="129">
        <f>'(D) Tuition Fee Revenue'!K12+'(D) Tuition Fee Revenue'!L12</f>
        <v>7021000</v>
      </c>
      <c r="E12" s="129"/>
      <c r="F12" s="150">
        <f t="shared" si="0"/>
        <v>83554000</v>
      </c>
      <c r="G12" s="130"/>
      <c r="H12" s="129">
        <f>-'(F) Tuit Fee Discounts'!C12</f>
        <v>-21925800</v>
      </c>
      <c r="I12" s="129"/>
      <c r="J12" s="129"/>
      <c r="K12" s="129">
        <f>'(D) Tuition Fee Revenue'!N12</f>
        <v>-2340000</v>
      </c>
      <c r="L12" s="150"/>
      <c r="M12" s="129"/>
      <c r="N12" s="379">
        <f>K12--'(F) Tuit Fee Discounts'!L12</f>
        <v>-914400</v>
      </c>
      <c r="O12" s="379"/>
      <c r="P12" s="128">
        <f t="shared" si="1"/>
        <v>-24265800</v>
      </c>
      <c r="Q12" s="113"/>
    </row>
    <row r="13" spans="1:17" ht="13.5" customHeight="1">
      <c r="A13" s="130" t="s">
        <v>4</v>
      </c>
      <c r="B13" s="130">
        <f>'(A) Budget Summary'!E14</f>
        <v>106228316</v>
      </c>
      <c r="C13" s="129"/>
      <c r="D13" s="129">
        <f>'(D) Tuition Fee Revenue'!K13+'(D) Tuition Fee Revenue'!L13</f>
        <v>9806000</v>
      </c>
      <c r="E13" s="129"/>
      <c r="F13" s="150">
        <f t="shared" si="0"/>
        <v>116034316</v>
      </c>
      <c r="G13" s="130"/>
      <c r="H13" s="129">
        <f>-'(F) Tuit Fee Discounts'!C13</f>
        <v>-34935700</v>
      </c>
      <c r="I13" s="129"/>
      <c r="J13" s="129"/>
      <c r="K13" s="129">
        <f>'(D) Tuition Fee Revenue'!N13</f>
        <v>-3269000</v>
      </c>
      <c r="L13" s="150"/>
      <c r="M13" s="129"/>
      <c r="N13" s="379">
        <f>K13--'(F) Tuit Fee Discounts'!L13</f>
        <v>938000</v>
      </c>
      <c r="O13" s="379"/>
      <c r="P13" s="128">
        <f t="shared" si="1"/>
        <v>-38204700</v>
      </c>
      <c r="Q13" s="113"/>
    </row>
    <row r="14" spans="1:17" ht="13.5" customHeight="1">
      <c r="A14" s="130" t="s">
        <v>5</v>
      </c>
      <c r="B14" s="130">
        <f>'(A) Budget Summary'!E15</f>
        <v>182144148</v>
      </c>
      <c r="C14" s="129"/>
      <c r="D14" s="129">
        <f>'(D) Tuition Fee Revenue'!K14+'(D) Tuition Fee Revenue'!L14</f>
        <v>16483000</v>
      </c>
      <c r="E14" s="129"/>
      <c r="F14" s="150">
        <f t="shared" si="0"/>
        <v>198627148</v>
      </c>
      <c r="G14" s="130"/>
      <c r="H14" s="129">
        <f>-'(F) Tuit Fee Discounts'!C14</f>
        <v>-45000900</v>
      </c>
      <c r="I14" s="129"/>
      <c r="J14" s="129"/>
      <c r="K14" s="129">
        <f>'(D) Tuition Fee Revenue'!N14</f>
        <v>-5494000</v>
      </c>
      <c r="L14" s="150"/>
      <c r="M14" s="129"/>
      <c r="N14" s="379">
        <f>K14--'(F) Tuit Fee Discounts'!L14</f>
        <v>3000</v>
      </c>
      <c r="O14" s="379"/>
      <c r="P14" s="128">
        <f t="shared" si="1"/>
        <v>-50494900</v>
      </c>
      <c r="Q14" s="113"/>
    </row>
    <row r="15" spans="1:17" ht="13.5" customHeight="1">
      <c r="A15" s="130" t="s">
        <v>6</v>
      </c>
      <c r="B15" s="130">
        <f>'(A) Budget Summary'!E16</f>
        <v>41674528</v>
      </c>
      <c r="C15" s="129"/>
      <c r="D15" s="129">
        <f>'(D) Tuition Fee Revenue'!K15+'(D) Tuition Fee Revenue'!L15</f>
        <v>3681000</v>
      </c>
      <c r="E15" s="129"/>
      <c r="F15" s="150">
        <f t="shared" si="0"/>
        <v>45355528</v>
      </c>
      <c r="G15" s="130"/>
      <c r="H15" s="129">
        <f>-'(F) Tuit Fee Discounts'!C15</f>
        <v>-15031900</v>
      </c>
      <c r="I15" s="129"/>
      <c r="J15" s="129"/>
      <c r="K15" s="129">
        <f>'(D) Tuition Fee Revenue'!N15</f>
        <v>-1227000</v>
      </c>
      <c r="L15" s="150"/>
      <c r="M15" s="129"/>
      <c r="N15" s="379">
        <f>K15--'(F) Tuit Fee Discounts'!L15</f>
        <v>-711100</v>
      </c>
      <c r="O15" s="379"/>
      <c r="P15" s="128">
        <f t="shared" si="1"/>
        <v>-16258900</v>
      </c>
      <c r="Q15" s="113"/>
    </row>
    <row r="16" spans="1:17" ht="13.5" customHeight="1">
      <c r="A16" s="130" t="s">
        <v>7</v>
      </c>
      <c r="B16" s="130">
        <f>'(A) Budget Summary'!E17</f>
        <v>177063000</v>
      </c>
      <c r="C16" s="129"/>
      <c r="D16" s="129">
        <f>'(D) Tuition Fee Revenue'!K16+'(D) Tuition Fee Revenue'!L16</f>
        <v>16229000</v>
      </c>
      <c r="E16" s="129"/>
      <c r="F16" s="150">
        <f t="shared" si="0"/>
        <v>193292000</v>
      </c>
      <c r="G16" s="130"/>
      <c r="H16" s="129">
        <f>-'(F) Tuit Fee Discounts'!C16</f>
        <v>-50505800</v>
      </c>
      <c r="I16" s="129"/>
      <c r="J16" s="129"/>
      <c r="K16" s="129">
        <f>'(D) Tuition Fee Revenue'!N16</f>
        <v>-5410000</v>
      </c>
      <c r="L16" s="150"/>
      <c r="M16" s="129"/>
      <c r="N16" s="379">
        <f>K16--'(F) Tuit Fee Discounts'!L16</f>
        <v>-875900</v>
      </c>
      <c r="O16" s="379"/>
      <c r="P16" s="128">
        <f t="shared" si="1"/>
        <v>-55915800</v>
      </c>
      <c r="Q16" s="113"/>
    </row>
    <row r="17" spans="1:17" s="132" customFormat="1" ht="13.5" customHeight="1">
      <c r="A17" s="253" t="s">
        <v>8</v>
      </c>
      <c r="B17" s="130">
        <f>'(A) Budget Summary'!E18</f>
        <v>105940658</v>
      </c>
      <c r="C17" s="129"/>
      <c r="D17" s="129">
        <f>'(D) Tuition Fee Revenue'!K17+'(D) Tuition Fee Revenue'!L17</f>
        <v>10190000</v>
      </c>
      <c r="E17" s="129"/>
      <c r="F17" s="150">
        <f t="shared" si="0"/>
        <v>116130658</v>
      </c>
      <c r="G17" s="130"/>
      <c r="H17" s="129">
        <f>-'(F) Tuit Fee Discounts'!C17</f>
        <v>-42333400</v>
      </c>
      <c r="I17" s="129"/>
      <c r="J17" s="129"/>
      <c r="K17" s="129">
        <f>'(D) Tuition Fee Revenue'!N17</f>
        <v>-3396000</v>
      </c>
      <c r="L17" s="150"/>
      <c r="M17" s="129"/>
      <c r="N17" s="379">
        <f>K17--'(F) Tuit Fee Discounts'!L17</f>
        <v>219100</v>
      </c>
      <c r="O17" s="379"/>
      <c r="P17" s="128">
        <f t="shared" si="1"/>
        <v>-45729400</v>
      </c>
      <c r="Q17" s="313"/>
    </row>
    <row r="18" spans="1:17" s="132" customFormat="1" ht="13.5" customHeight="1">
      <c r="A18" s="253" t="s">
        <v>9</v>
      </c>
      <c r="B18" s="130">
        <f>'(A) Budget Summary'!E19</f>
        <v>4793159</v>
      </c>
      <c r="C18" s="129"/>
      <c r="D18" s="129">
        <f>'(D) Tuition Fee Revenue'!K18+'(D) Tuition Fee Revenue'!L18</f>
        <v>396000</v>
      </c>
      <c r="E18" s="129"/>
      <c r="F18" s="150">
        <f t="shared" si="0"/>
        <v>5189159</v>
      </c>
      <c r="G18" s="130"/>
      <c r="H18" s="129">
        <f>-'(F) Tuit Fee Discounts'!C18</f>
        <v>-1638900</v>
      </c>
      <c r="I18" s="129"/>
      <c r="J18" s="129"/>
      <c r="K18" s="129">
        <f>'(D) Tuition Fee Revenue'!N18</f>
        <v>-132000</v>
      </c>
      <c r="L18" s="150"/>
      <c r="M18" s="129"/>
      <c r="N18" s="379">
        <f>K18--'(F) Tuit Fee Discounts'!L18</f>
        <v>44400</v>
      </c>
      <c r="O18" s="379"/>
      <c r="P18" s="128">
        <f t="shared" si="1"/>
        <v>-1770900</v>
      </c>
      <c r="Q18" s="313"/>
    </row>
    <row r="19" spans="1:17" s="132" customFormat="1" ht="13.5" customHeight="1">
      <c r="A19" s="253" t="s">
        <v>10</v>
      </c>
      <c r="B19" s="130">
        <f>'(A) Budget Summary'!E20</f>
        <v>24468271</v>
      </c>
      <c r="C19" s="129"/>
      <c r="D19" s="129">
        <f>'(D) Tuition Fee Revenue'!K19+'(D) Tuition Fee Revenue'!L19</f>
        <v>2212000</v>
      </c>
      <c r="E19" s="129"/>
      <c r="F19" s="150">
        <f t="shared" si="0"/>
        <v>26680271</v>
      </c>
      <c r="G19" s="130"/>
      <c r="H19" s="129">
        <f>-'(F) Tuit Fee Discounts'!C19</f>
        <v>-8975700</v>
      </c>
      <c r="I19" s="129"/>
      <c r="J19" s="129"/>
      <c r="K19" s="129">
        <f>'(D) Tuition Fee Revenue'!N19</f>
        <v>-737000</v>
      </c>
      <c r="L19" s="150"/>
      <c r="M19" s="129"/>
      <c r="N19" s="379">
        <f>K19--'(F) Tuit Fee Discounts'!L19</f>
        <v>-67100</v>
      </c>
      <c r="O19" s="379"/>
      <c r="P19" s="128">
        <f t="shared" si="1"/>
        <v>-9712700</v>
      </c>
      <c r="Q19" s="313"/>
    </row>
    <row r="20" spans="1:17" s="132" customFormat="1" ht="13.5" customHeight="1">
      <c r="A20" s="253" t="s">
        <v>11</v>
      </c>
      <c r="B20" s="130">
        <f>'(A) Budget Summary'!E21</f>
        <v>179465000</v>
      </c>
      <c r="C20" s="129"/>
      <c r="D20" s="129">
        <f>'(D) Tuition Fee Revenue'!K20+'(D) Tuition Fee Revenue'!L20</f>
        <v>16050000</v>
      </c>
      <c r="E20" s="129"/>
      <c r="F20" s="150">
        <f t="shared" si="0"/>
        <v>195515000</v>
      </c>
      <c r="G20" s="130"/>
      <c r="H20" s="129">
        <f>-'(F) Tuit Fee Discounts'!C20</f>
        <v>-52903000</v>
      </c>
      <c r="I20" s="129"/>
      <c r="J20" s="129"/>
      <c r="K20" s="129">
        <f>'(D) Tuition Fee Revenue'!N20</f>
        <v>-5350000</v>
      </c>
      <c r="L20" s="150"/>
      <c r="M20" s="129"/>
      <c r="N20" s="379">
        <f>K20--'(F) Tuit Fee Discounts'!L20</f>
        <v>794000</v>
      </c>
      <c r="O20" s="379"/>
      <c r="P20" s="128">
        <f t="shared" si="1"/>
        <v>-58253000</v>
      </c>
      <c r="Q20" s="313"/>
    </row>
    <row r="21" spans="1:17" s="132" customFormat="1" ht="13.5" customHeight="1">
      <c r="A21" s="253" t="s">
        <v>12</v>
      </c>
      <c r="B21" s="130">
        <f>'(A) Budget Summary'!E22</f>
        <v>101152000</v>
      </c>
      <c r="C21" s="129"/>
      <c r="D21" s="129">
        <f>'(D) Tuition Fee Revenue'!K21+'(D) Tuition Fee Revenue'!L21</f>
        <v>9901000</v>
      </c>
      <c r="E21" s="129"/>
      <c r="F21" s="150">
        <f t="shared" si="0"/>
        <v>111053000</v>
      </c>
      <c r="G21" s="130"/>
      <c r="H21" s="129">
        <f>-'(F) Tuit Fee Discounts'!C21</f>
        <v>-31198800</v>
      </c>
      <c r="I21" s="129"/>
      <c r="J21" s="129"/>
      <c r="K21" s="129">
        <f>'(D) Tuition Fee Revenue'!N21</f>
        <v>-3300000</v>
      </c>
      <c r="L21" s="150"/>
      <c r="M21" s="129"/>
      <c r="N21" s="379">
        <f>K21--'(F) Tuit Fee Discounts'!L21</f>
        <v>-889800</v>
      </c>
      <c r="O21" s="379"/>
      <c r="P21" s="128">
        <f t="shared" si="1"/>
        <v>-34498800</v>
      </c>
      <c r="Q21" s="313"/>
    </row>
    <row r="22" spans="1:17" s="132" customFormat="1" ht="13.5" customHeight="1">
      <c r="A22" s="253" t="s">
        <v>13</v>
      </c>
      <c r="B22" s="130">
        <f>'(A) Budget Summary'!E23</f>
        <v>136490500</v>
      </c>
      <c r="C22" s="129"/>
      <c r="D22" s="129">
        <f>'(D) Tuition Fee Revenue'!K22+'(D) Tuition Fee Revenue'!L22</f>
        <v>12613000</v>
      </c>
      <c r="E22" s="129"/>
      <c r="F22" s="150">
        <f t="shared" si="0"/>
        <v>149103500</v>
      </c>
      <c r="G22" s="130"/>
      <c r="H22" s="129">
        <f>-'(F) Tuit Fee Discounts'!C22</f>
        <v>-41288400</v>
      </c>
      <c r="I22" s="129"/>
      <c r="J22" s="129"/>
      <c r="K22" s="129">
        <f>'(D) Tuition Fee Revenue'!N22</f>
        <v>-4204000</v>
      </c>
      <c r="L22" s="150"/>
      <c r="M22" s="129"/>
      <c r="N22" s="379">
        <f>K22--'(F) Tuit Fee Discounts'!L22</f>
        <v>1233000</v>
      </c>
      <c r="O22" s="379"/>
      <c r="P22" s="128">
        <f t="shared" si="1"/>
        <v>-45492400</v>
      </c>
      <c r="Q22" s="313"/>
    </row>
    <row r="23" spans="1:17" s="132" customFormat="1" ht="13.5" customHeight="1">
      <c r="A23" s="253" t="s">
        <v>14</v>
      </c>
      <c r="B23" s="130">
        <f>'(A) Budget Summary'!E24</f>
        <v>88825000</v>
      </c>
      <c r="C23" s="129"/>
      <c r="D23" s="129">
        <f>'(D) Tuition Fee Revenue'!K23+'(D) Tuition Fee Revenue'!L23</f>
        <v>8137000</v>
      </c>
      <c r="E23" s="129"/>
      <c r="F23" s="150">
        <f t="shared" si="0"/>
        <v>96962000</v>
      </c>
      <c r="G23" s="130"/>
      <c r="H23" s="129">
        <f>-'(F) Tuit Fee Discounts'!C23</f>
        <v>-34143300</v>
      </c>
      <c r="I23" s="129"/>
      <c r="J23" s="129"/>
      <c r="K23" s="129">
        <f>'(D) Tuition Fee Revenue'!N23</f>
        <v>-2712000</v>
      </c>
      <c r="L23" s="150"/>
      <c r="M23" s="129"/>
      <c r="N23" s="379">
        <f>K23--'(F) Tuit Fee Discounts'!L23</f>
        <v>-720900</v>
      </c>
      <c r="O23" s="379"/>
      <c r="P23" s="128">
        <f t="shared" si="1"/>
        <v>-36855300</v>
      </c>
      <c r="Q23" s="313"/>
    </row>
    <row r="24" spans="1:17" s="132" customFormat="1" ht="13.5" customHeight="1">
      <c r="A24" s="253" t="s">
        <v>15</v>
      </c>
      <c r="B24" s="130">
        <f>'(A) Budget Summary'!E25</f>
        <v>159073000</v>
      </c>
      <c r="C24" s="129"/>
      <c r="D24" s="129">
        <f>'(D) Tuition Fee Revenue'!K24+'(D) Tuition Fee Revenue'!L24</f>
        <v>16491000</v>
      </c>
      <c r="E24" s="129"/>
      <c r="F24" s="150">
        <f t="shared" si="0"/>
        <v>175564000</v>
      </c>
      <c r="G24" s="130"/>
      <c r="H24" s="129">
        <f>-'(F) Tuit Fee Discounts'!C24</f>
        <v>-40341800</v>
      </c>
      <c r="I24" s="129"/>
      <c r="J24" s="129"/>
      <c r="K24" s="129">
        <f>'(D) Tuition Fee Revenue'!N24</f>
        <v>-5497000</v>
      </c>
      <c r="L24" s="150"/>
      <c r="M24" s="129"/>
      <c r="N24" s="379">
        <f>K24--'(F) Tuit Fee Discounts'!L24</f>
        <v>-633800</v>
      </c>
      <c r="O24" s="379"/>
      <c r="P24" s="128">
        <f t="shared" si="1"/>
        <v>-45838800</v>
      </c>
      <c r="Q24" s="313"/>
    </row>
    <row r="25" spans="1:17" s="132" customFormat="1" ht="13.5" customHeight="1">
      <c r="A25" s="253" t="s">
        <v>16</v>
      </c>
      <c r="B25" s="130">
        <f>'(A) Budget Summary'!E26</f>
        <v>149100000</v>
      </c>
      <c r="C25" s="129"/>
      <c r="D25" s="129">
        <f>'(D) Tuition Fee Revenue'!K25+'(D) Tuition Fee Revenue'!L25</f>
        <v>13674000</v>
      </c>
      <c r="E25" s="129"/>
      <c r="F25" s="150">
        <f t="shared" si="0"/>
        <v>162774000</v>
      </c>
      <c r="G25" s="130"/>
      <c r="H25" s="129">
        <f>-'(F) Tuit Fee Discounts'!C25</f>
        <v>-43742300</v>
      </c>
      <c r="I25" s="129"/>
      <c r="J25" s="129"/>
      <c r="K25" s="129">
        <f>'(D) Tuition Fee Revenue'!N25</f>
        <v>-4558000</v>
      </c>
      <c r="L25" s="150"/>
      <c r="M25" s="129"/>
      <c r="N25" s="379">
        <f>K25--'(F) Tuit Fee Discounts'!L25</f>
        <v>568400</v>
      </c>
      <c r="O25" s="379"/>
      <c r="P25" s="128">
        <f t="shared" si="1"/>
        <v>-48300300</v>
      </c>
      <c r="Q25" s="313"/>
    </row>
    <row r="26" spans="1:17" s="132" customFormat="1" ht="13.5" customHeight="1">
      <c r="A26" s="253" t="s">
        <v>17</v>
      </c>
      <c r="B26" s="130">
        <f>'(A) Budget Summary'!E27</f>
        <v>142479300</v>
      </c>
      <c r="C26" s="129"/>
      <c r="D26" s="129">
        <f>'(D) Tuition Fee Revenue'!K26+'(D) Tuition Fee Revenue'!L26</f>
        <v>13404000</v>
      </c>
      <c r="E26" s="129"/>
      <c r="F26" s="150">
        <f t="shared" si="0"/>
        <v>155883300</v>
      </c>
      <c r="G26" s="130"/>
      <c r="H26" s="129">
        <f>-'(F) Tuit Fee Discounts'!C26</f>
        <v>-34907300</v>
      </c>
      <c r="I26" s="129"/>
      <c r="J26" s="129"/>
      <c r="K26" s="129">
        <f>'(D) Tuition Fee Revenue'!N26</f>
        <v>-4468000</v>
      </c>
      <c r="L26" s="150"/>
      <c r="M26" s="129"/>
      <c r="N26" s="379">
        <f>K26--'(F) Tuit Fee Discounts'!L26</f>
        <v>61800</v>
      </c>
      <c r="O26" s="379"/>
      <c r="P26" s="128">
        <f t="shared" si="1"/>
        <v>-39375300</v>
      </c>
      <c r="Q26" s="313"/>
    </row>
    <row r="27" spans="1:17" s="132" customFormat="1" ht="13.5" customHeight="1">
      <c r="A27" s="253" t="s">
        <v>18</v>
      </c>
      <c r="B27" s="130">
        <f>'(A) Budget Summary'!E28</f>
        <v>95990000</v>
      </c>
      <c r="C27" s="129"/>
      <c r="D27" s="129">
        <f>'(D) Tuition Fee Revenue'!K27+'(D) Tuition Fee Revenue'!L27</f>
        <v>8673000</v>
      </c>
      <c r="E27" s="129"/>
      <c r="F27" s="150">
        <f t="shared" si="0"/>
        <v>104663000</v>
      </c>
      <c r="G27" s="130"/>
      <c r="H27" s="129">
        <f>-'(F) Tuit Fee Discounts'!C27</f>
        <v>-14682500</v>
      </c>
      <c r="I27" s="129"/>
      <c r="J27" s="129"/>
      <c r="K27" s="129">
        <f>'(D) Tuition Fee Revenue'!N27</f>
        <v>-2891000</v>
      </c>
      <c r="L27" s="150"/>
      <c r="M27" s="129"/>
      <c r="N27" s="379">
        <f>K27--'(F) Tuit Fee Discounts'!L27</f>
        <v>-1874600</v>
      </c>
      <c r="O27" s="379"/>
      <c r="P27" s="128">
        <f t="shared" si="1"/>
        <v>-17573500</v>
      </c>
      <c r="Q27" s="313"/>
    </row>
    <row r="28" spans="1:17" s="132" customFormat="1" ht="13.5" customHeight="1">
      <c r="A28" s="253" t="s">
        <v>19</v>
      </c>
      <c r="B28" s="130">
        <f>'(A) Budget Summary'!E29</f>
        <v>46981000</v>
      </c>
      <c r="C28" s="129"/>
      <c r="D28" s="129">
        <f>'(D) Tuition Fee Revenue'!K28+'(D) Tuition Fee Revenue'!L28</f>
        <v>4462000</v>
      </c>
      <c r="E28" s="129"/>
      <c r="F28" s="150">
        <f t="shared" si="0"/>
        <v>51443000</v>
      </c>
      <c r="G28" s="130"/>
      <c r="H28" s="129">
        <f>-'(F) Tuit Fee Discounts'!C28</f>
        <v>-14289900</v>
      </c>
      <c r="I28" s="129"/>
      <c r="J28" s="129"/>
      <c r="K28" s="129">
        <f>'(D) Tuition Fee Revenue'!N28</f>
        <v>-1487000</v>
      </c>
      <c r="L28" s="150"/>
      <c r="M28" s="129"/>
      <c r="N28" s="379">
        <f>K28--'(F) Tuit Fee Discounts'!L28</f>
        <v>1156000</v>
      </c>
      <c r="O28" s="379"/>
      <c r="P28" s="128">
        <f t="shared" si="1"/>
        <v>-15776900</v>
      </c>
      <c r="Q28" s="313"/>
    </row>
    <row r="29" spans="1:17" s="132" customFormat="1" ht="13.5" customHeight="1">
      <c r="A29" s="253" t="s">
        <v>20</v>
      </c>
      <c r="B29" s="130">
        <f>'(A) Budget Summary'!E30</f>
        <v>43181000</v>
      </c>
      <c r="C29" s="129"/>
      <c r="D29" s="129">
        <f>'(D) Tuition Fee Revenue'!K29+'(D) Tuition Fee Revenue'!L29</f>
        <v>3970000</v>
      </c>
      <c r="E29" s="129"/>
      <c r="F29" s="150">
        <f t="shared" si="0"/>
        <v>47151000</v>
      </c>
      <c r="G29" s="130"/>
      <c r="H29" s="129">
        <f>-'(F) Tuit Fee Discounts'!C29</f>
        <v>-9644100</v>
      </c>
      <c r="I29" s="129"/>
      <c r="J29" s="129"/>
      <c r="K29" s="129">
        <f>'(D) Tuition Fee Revenue'!N29</f>
        <v>-1323000</v>
      </c>
      <c r="L29" s="150"/>
      <c r="M29" s="129"/>
      <c r="N29" s="379">
        <f>K29--'(F) Tuit Fee Discounts'!L29</f>
        <v>232400</v>
      </c>
      <c r="O29" s="379"/>
      <c r="P29" s="128">
        <f t="shared" si="1"/>
        <v>-10967100</v>
      </c>
      <c r="Q29" s="313"/>
    </row>
    <row r="30" spans="1:17" s="132" customFormat="1" ht="13.5" customHeight="1">
      <c r="A30" s="253" t="s">
        <v>21</v>
      </c>
      <c r="B30" s="130">
        <f>'(A) Budget Summary'!E31</f>
        <v>42312227</v>
      </c>
      <c r="C30" s="129"/>
      <c r="D30" s="129">
        <f>'(D) Tuition Fee Revenue'!K30+'(D) Tuition Fee Revenue'!L30</f>
        <v>4023000</v>
      </c>
      <c r="E30" s="129"/>
      <c r="F30" s="150">
        <f t="shared" si="0"/>
        <v>46335227</v>
      </c>
      <c r="G30" s="130"/>
      <c r="H30" s="129">
        <f>-'(F) Tuit Fee Discounts'!C30</f>
        <v>-14726500</v>
      </c>
      <c r="I30" s="129"/>
      <c r="J30" s="129"/>
      <c r="K30" s="129">
        <f>'(D) Tuition Fee Revenue'!N30</f>
        <v>-1341000</v>
      </c>
      <c r="L30" s="150"/>
      <c r="M30" s="129"/>
      <c r="N30" s="379">
        <f>K30--'(F) Tuit Fee Discounts'!L30</f>
        <v>1220700</v>
      </c>
      <c r="O30" s="379"/>
      <c r="P30" s="128">
        <f t="shared" si="1"/>
        <v>-16067500</v>
      </c>
      <c r="Q30" s="313"/>
    </row>
    <row r="31" spans="1:17" s="132" customFormat="1" ht="6" customHeight="1">
      <c r="A31" s="253"/>
      <c r="B31" s="383"/>
      <c r="C31" s="264"/>
      <c r="D31" s="264"/>
      <c r="E31" s="264"/>
      <c r="F31" s="337"/>
      <c r="G31" s="383"/>
      <c r="H31" s="252"/>
      <c r="I31" s="252"/>
      <c r="J31" s="252"/>
      <c r="K31" s="252"/>
      <c r="L31" s="254"/>
      <c r="M31" s="252"/>
      <c r="N31" s="380"/>
      <c r="O31" s="380"/>
      <c r="P31" s="251"/>
      <c r="Q31" s="313"/>
    </row>
    <row r="32" spans="1:17" s="132" customFormat="1" ht="12.75">
      <c r="A32" s="368" t="s">
        <v>22</v>
      </c>
      <c r="B32" s="384">
        <f>SUM(B8:B30)</f>
        <v>2105595262</v>
      </c>
      <c r="C32" s="385"/>
      <c r="D32" s="385">
        <f>SUM(D8:D30)</f>
        <v>196585000</v>
      </c>
      <c r="E32" s="385"/>
      <c r="F32" s="386">
        <f>SUM(F8:F30)</f>
        <v>2302180262</v>
      </c>
      <c r="G32" s="384"/>
      <c r="H32" s="256">
        <f>SUM(H8:H30)</f>
        <v>-625834800</v>
      </c>
      <c r="I32" s="256"/>
      <c r="J32" s="256"/>
      <c r="K32" s="256">
        <f>SUM(K8:K30)</f>
        <v>-65526000</v>
      </c>
      <c r="L32" s="258"/>
      <c r="M32" s="256"/>
      <c r="N32" s="366">
        <f>SUM(N8:N30)</f>
        <v>374000</v>
      </c>
      <c r="O32" s="366"/>
      <c r="P32" s="360">
        <f>SUM(P8:P30)</f>
        <v>-691360800</v>
      </c>
      <c r="Q32" s="313"/>
    </row>
    <row r="33" spans="1:17" s="132" customFormat="1" ht="6" customHeight="1">
      <c r="A33" s="369"/>
      <c r="B33" s="333"/>
      <c r="C33" s="260"/>
      <c r="D33" s="260"/>
      <c r="E33" s="260"/>
      <c r="F33" s="261"/>
      <c r="G33" s="333"/>
      <c r="H33" s="260"/>
      <c r="I33" s="260"/>
      <c r="J33" s="260"/>
      <c r="K33" s="260"/>
      <c r="L33" s="261"/>
      <c r="M33" s="260"/>
      <c r="N33" s="367"/>
      <c r="O33" s="367"/>
      <c r="P33" s="262"/>
      <c r="Q33" s="313"/>
    </row>
    <row r="34" spans="1:17" s="132" customFormat="1" ht="12.75" customHeight="1">
      <c r="A34" s="333" t="s">
        <v>23</v>
      </c>
      <c r="B34" s="253">
        <f>'(A) Budget Summary'!E35</f>
        <v>0</v>
      </c>
      <c r="C34" s="252"/>
      <c r="D34" s="129">
        <f>'(D) Tuition Fee Revenue'!K34+'(D) Tuition Fee Revenue'!L34</f>
        <v>0</v>
      </c>
      <c r="E34" s="129"/>
      <c r="F34" s="254">
        <f>B34+D34</f>
        <v>0</v>
      </c>
      <c r="G34" s="253"/>
      <c r="H34" s="129">
        <f>-'(F) Tuit Fee Discounts'!C34</f>
        <v>0</v>
      </c>
      <c r="I34" s="129"/>
      <c r="J34" s="129"/>
      <c r="K34" s="129">
        <f>'(D) Tuition Fee Revenue'!N34</f>
        <v>0</v>
      </c>
      <c r="L34" s="150"/>
      <c r="M34" s="129"/>
      <c r="N34" s="379">
        <f>K34--'(F) Tuit Fee Discounts'!L34</f>
        <v>0</v>
      </c>
      <c r="O34" s="379"/>
      <c r="P34" s="128">
        <f>H34+K34</f>
        <v>0</v>
      </c>
      <c r="Q34" s="313"/>
    </row>
    <row r="35" spans="1:17" s="132" customFormat="1" ht="12.75" customHeight="1">
      <c r="A35" s="253" t="s">
        <v>29</v>
      </c>
      <c r="B35" s="253">
        <f>'(A) Budget Summary'!E36</f>
        <v>0</v>
      </c>
      <c r="C35" s="252"/>
      <c r="D35" s="129">
        <f>'(D) Tuition Fee Revenue'!K35+'(D) Tuition Fee Revenue'!L35</f>
        <v>670000</v>
      </c>
      <c r="E35" s="129"/>
      <c r="F35" s="254">
        <f>B35+D35</f>
        <v>670000</v>
      </c>
      <c r="G35" s="253"/>
      <c r="H35" s="129">
        <f>-'(F) Tuit Fee Discounts'!C35</f>
        <v>0</v>
      </c>
      <c r="I35" s="129"/>
      <c r="J35" s="129"/>
      <c r="K35" s="129">
        <f>'(D) Tuition Fee Revenue'!N35</f>
        <v>-220000</v>
      </c>
      <c r="L35" s="150"/>
      <c r="M35" s="129"/>
      <c r="N35" s="379">
        <f>K35--'(F) Tuit Fee Discounts'!L35</f>
        <v>-220000</v>
      </c>
      <c r="O35" s="379"/>
      <c r="P35" s="128">
        <f>H35+K35</f>
        <v>-220000</v>
      </c>
      <c r="Q35" s="313"/>
    </row>
    <row r="36" spans="1:17" s="132" customFormat="1" ht="12.75" customHeight="1">
      <c r="A36" s="253" t="s">
        <v>24</v>
      </c>
      <c r="B36" s="253">
        <f>'(A) Budget Summary'!E37</f>
        <v>2772000</v>
      </c>
      <c r="C36" s="252"/>
      <c r="D36" s="129">
        <f>'(D) Tuition Fee Revenue'!K36+'(D) Tuition Fee Revenue'!L36</f>
        <v>328000</v>
      </c>
      <c r="E36" s="129"/>
      <c r="F36" s="254">
        <f>B36+D36</f>
        <v>3100000</v>
      </c>
      <c r="G36" s="253"/>
      <c r="H36" s="129">
        <f>-'(F) Tuit Fee Discounts'!C36</f>
        <v>0</v>
      </c>
      <c r="I36" s="129"/>
      <c r="J36" s="129"/>
      <c r="K36" s="129">
        <f>'(D) Tuition Fee Revenue'!N36</f>
        <v>-109000</v>
      </c>
      <c r="L36" s="150"/>
      <c r="M36" s="129"/>
      <c r="N36" s="379">
        <f>K36--'(F) Tuit Fee Discounts'!L36</f>
        <v>-109000</v>
      </c>
      <c r="O36" s="379"/>
      <c r="P36" s="128">
        <f>H36+K36</f>
        <v>-109000</v>
      </c>
      <c r="Q36" s="313"/>
    </row>
    <row r="37" spans="1:17" s="132" customFormat="1" ht="12.75" customHeight="1">
      <c r="A37" s="253" t="s">
        <v>25</v>
      </c>
      <c r="B37" s="253">
        <f>'(A) Budget Summary'!E38</f>
        <v>0</v>
      </c>
      <c r="C37" s="252"/>
      <c r="D37" s="129">
        <f>'(D) Tuition Fee Revenue'!K37+'(D) Tuition Fee Revenue'!L37</f>
        <v>138000</v>
      </c>
      <c r="E37" s="129"/>
      <c r="F37" s="254">
        <f>B37+D37</f>
        <v>138000</v>
      </c>
      <c r="G37" s="253"/>
      <c r="H37" s="129">
        <f>-'(F) Tuit Fee Discounts'!C37</f>
        <v>0</v>
      </c>
      <c r="I37" s="129"/>
      <c r="J37" s="129"/>
      <c r="K37" s="129">
        <f>'(D) Tuition Fee Revenue'!N37</f>
        <v>-45000</v>
      </c>
      <c r="L37" s="150"/>
      <c r="M37" s="129"/>
      <c r="N37" s="379">
        <f>K37--'(F) Tuit Fee Discounts'!L37</f>
        <v>-45000</v>
      </c>
      <c r="O37" s="379"/>
      <c r="P37" s="128">
        <f>H37+K37</f>
        <v>-45000</v>
      </c>
      <c r="Q37" s="313"/>
    </row>
    <row r="38" spans="1:17" s="132" customFormat="1" ht="12.75" customHeight="1">
      <c r="A38" s="370" t="s">
        <v>26</v>
      </c>
      <c r="B38" s="253">
        <f>'(A) Budget Summary'!E39</f>
        <v>0</v>
      </c>
      <c r="C38" s="252"/>
      <c r="D38" s="129">
        <f>'(D) Tuition Fee Revenue'!K38+'(D) Tuition Fee Revenue'!L38</f>
        <v>0</v>
      </c>
      <c r="E38" s="129"/>
      <c r="F38" s="254">
        <f>B38+D38</f>
        <v>0</v>
      </c>
      <c r="G38" s="253"/>
      <c r="H38" s="129">
        <f>-'(F) Tuit Fee Discounts'!C38</f>
        <v>0</v>
      </c>
      <c r="I38" s="129"/>
      <c r="J38" s="129"/>
      <c r="K38" s="129">
        <f>'(D) Tuition Fee Revenue'!N38</f>
        <v>0</v>
      </c>
      <c r="L38" s="150"/>
      <c r="M38" s="129"/>
      <c r="N38" s="379">
        <f>K38--'(F) Tuit Fee Discounts'!L38</f>
        <v>0</v>
      </c>
      <c r="O38" s="379"/>
      <c r="P38" s="128">
        <f>H38+K38</f>
        <v>0</v>
      </c>
      <c r="Q38" s="313"/>
    </row>
    <row r="39" spans="1:17" s="132" customFormat="1" ht="6" customHeight="1">
      <c r="A39" s="370"/>
      <c r="B39" s="253"/>
      <c r="C39" s="252"/>
      <c r="D39" s="252"/>
      <c r="E39" s="252"/>
      <c r="F39" s="254"/>
      <c r="G39" s="253"/>
      <c r="H39" s="252"/>
      <c r="I39" s="252"/>
      <c r="J39" s="252"/>
      <c r="K39" s="252"/>
      <c r="L39" s="254"/>
      <c r="M39" s="252"/>
      <c r="N39" s="380"/>
      <c r="O39" s="380"/>
      <c r="P39" s="251"/>
      <c r="Q39" s="313"/>
    </row>
    <row r="40" spans="1:17" s="132" customFormat="1" ht="6" customHeight="1">
      <c r="A40" s="370"/>
      <c r="B40" s="383"/>
      <c r="C40" s="264"/>
      <c r="D40" s="264"/>
      <c r="E40" s="264"/>
      <c r="F40" s="337"/>
      <c r="G40" s="383"/>
      <c r="H40" s="252"/>
      <c r="I40" s="252"/>
      <c r="J40" s="252"/>
      <c r="K40" s="252"/>
      <c r="L40" s="254"/>
      <c r="M40" s="252"/>
      <c r="N40" s="380"/>
      <c r="O40" s="380"/>
      <c r="P40" s="251"/>
      <c r="Q40" s="313"/>
    </row>
    <row r="41" spans="1:17" s="132" customFormat="1" ht="13.5" thickBot="1">
      <c r="A41" s="334" t="s">
        <v>34</v>
      </c>
      <c r="B41" s="372">
        <f aca="true" t="shared" si="2" ref="B41:H41">SUM(B32:B38)</f>
        <v>2108367262</v>
      </c>
      <c r="C41" s="269"/>
      <c r="D41" s="269">
        <f t="shared" si="2"/>
        <v>197721000</v>
      </c>
      <c r="E41" s="269"/>
      <c r="F41" s="373">
        <f t="shared" si="2"/>
        <v>2306088262</v>
      </c>
      <c r="G41" s="372"/>
      <c r="H41" s="266">
        <f t="shared" si="2"/>
        <v>-625834800</v>
      </c>
      <c r="I41" s="266"/>
      <c r="J41" s="266"/>
      <c r="K41" s="266">
        <f>SUM(K32:K38)</f>
        <v>-65900000</v>
      </c>
      <c r="L41" s="268"/>
      <c r="M41" s="334"/>
      <c r="N41" s="345">
        <f>SUM(N32:N38)</f>
        <v>0</v>
      </c>
      <c r="O41" s="268"/>
      <c r="P41" s="265">
        <f>SUM(P32:P38)</f>
        <v>-691734800</v>
      </c>
      <c r="Q41" s="313"/>
    </row>
    <row r="42" spans="6:17" ht="6" customHeight="1">
      <c r="F42" s="127"/>
      <c r="G42" s="127"/>
      <c r="Q42" s="113"/>
    </row>
    <row r="43" spans="1:17" ht="18">
      <c r="A43" s="117" t="s">
        <v>170</v>
      </c>
      <c r="F43" s="127"/>
      <c r="G43" s="127"/>
      <c r="H43" s="135"/>
      <c r="I43" s="135"/>
      <c r="J43" s="135"/>
      <c r="Q43" s="113"/>
    </row>
    <row r="44" spans="4:17" s="136" customFormat="1" ht="16.5" customHeight="1">
      <c r="D44" s="139"/>
      <c r="E44" s="139"/>
      <c r="H44" s="139"/>
      <c r="I44" s="139"/>
      <c r="J44" s="139"/>
      <c r="P44" s="139"/>
      <c r="Q44" s="314"/>
    </row>
    <row r="45" s="136" customFormat="1" ht="16.5" customHeight="1">
      <c r="Q45" s="314"/>
    </row>
    <row r="46" s="136" customFormat="1" ht="16.5" customHeight="1">
      <c r="Q46" s="314"/>
    </row>
    <row r="47" s="141" customFormat="1" ht="18.75" customHeight="1">
      <c r="Q47" s="315"/>
    </row>
    <row r="48" spans="4:10" s="141" customFormat="1" ht="18.75" customHeight="1">
      <c r="D48" s="142"/>
      <c r="E48" s="142"/>
      <c r="H48" s="142"/>
      <c r="I48" s="142"/>
      <c r="J48" s="142"/>
    </row>
  </sheetData>
  <sheetProtection/>
  <mergeCells count="8">
    <mergeCell ref="C6:E6"/>
    <mergeCell ref="P4:P5"/>
    <mergeCell ref="G4:O4"/>
    <mergeCell ref="M5:O5"/>
    <mergeCell ref="B4:F4"/>
    <mergeCell ref="C5:E5"/>
    <mergeCell ref="G5:I5"/>
    <mergeCell ref="J5:L5"/>
  </mergeCells>
  <printOptions/>
  <pageMargins left="0.68" right="0.37" top="0.59" bottom="0.25" header="0.3" footer="0.3"/>
  <pageSetup fitToHeight="1" fitToWidth="1" horizontalDpi="600" verticalDpi="600" orientation="landscape" paperSize="5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9" sqref="K9"/>
    </sheetView>
  </sheetViews>
  <sheetFormatPr defaultColWidth="10" defaultRowHeight="12.75"/>
  <cols>
    <col min="1" max="1" width="1.5" style="24" customWidth="1"/>
    <col min="2" max="2" width="21.83203125" style="23" customWidth="1"/>
    <col min="3" max="3" width="13.83203125" style="23" customWidth="1"/>
    <col min="4" max="4" width="11" style="23" bestFit="1" customWidth="1"/>
    <col min="5" max="5" width="13.83203125" style="23" customWidth="1"/>
    <col min="6" max="6" width="11" style="24" bestFit="1" customWidth="1"/>
    <col min="7" max="7" width="13.83203125" style="23" customWidth="1"/>
    <col min="8" max="8" width="11" style="23" bestFit="1" customWidth="1"/>
    <col min="9" max="10" width="14.83203125" style="23" customWidth="1"/>
    <col min="11" max="11" width="2.33203125" style="23" customWidth="1"/>
    <col min="12" max="12" width="16.83203125" style="23" bestFit="1" customWidth="1"/>
    <col min="13" max="13" width="2.5" style="23" customWidth="1"/>
    <col min="14" max="14" width="2.33203125" style="23" customWidth="1"/>
    <col min="15" max="15" width="15.16015625" style="23" customWidth="1"/>
    <col min="16" max="16384" width="10" style="23" customWidth="1"/>
  </cols>
  <sheetData>
    <row r="1" ht="18.75" customHeight="1">
      <c r="A1" s="22" t="s">
        <v>176</v>
      </c>
    </row>
    <row r="2" spans="1:2" ht="15.75" customHeight="1">
      <c r="A2" s="104"/>
      <c r="B2" s="67"/>
    </row>
    <row r="3" spans="3:12" ht="14.25" customHeight="1">
      <c r="C3" s="25">
        <v>-1</v>
      </c>
      <c r="D3" s="25"/>
      <c r="E3" s="25"/>
      <c r="F3" s="25"/>
      <c r="G3" s="25"/>
      <c r="H3" s="25"/>
      <c r="I3" s="25">
        <v>-2</v>
      </c>
      <c r="L3" s="25">
        <v>-3</v>
      </c>
    </row>
    <row r="4" spans="1:14" ht="14.25">
      <c r="A4" s="26"/>
      <c r="B4" s="27"/>
      <c r="C4" s="299"/>
      <c r="D4" s="300"/>
      <c r="E4" s="451" t="s">
        <v>167</v>
      </c>
      <c r="F4" s="452"/>
      <c r="G4" s="452"/>
      <c r="H4" s="452"/>
      <c r="I4" s="452"/>
      <c r="J4" s="452"/>
      <c r="K4" s="452"/>
      <c r="L4" s="452"/>
      <c r="M4" s="453"/>
      <c r="N4" s="69"/>
    </row>
    <row r="5" spans="1:15" s="30" customFormat="1" ht="74.25" customHeight="1" thickBot="1">
      <c r="A5" s="28"/>
      <c r="B5" s="29" t="s">
        <v>32</v>
      </c>
      <c r="C5" s="461" t="s">
        <v>159</v>
      </c>
      <c r="D5" s="462"/>
      <c r="E5" s="454" t="s">
        <v>174</v>
      </c>
      <c r="F5" s="455"/>
      <c r="G5" s="308" t="s">
        <v>175</v>
      </c>
      <c r="H5" s="309"/>
      <c r="I5" s="456" t="s">
        <v>173</v>
      </c>
      <c r="J5" s="457"/>
      <c r="K5" s="458" t="s">
        <v>177</v>
      </c>
      <c r="L5" s="459"/>
      <c r="M5" s="460"/>
      <c r="N5" s="31"/>
      <c r="O5" s="66"/>
    </row>
    <row r="6" spans="1:15" s="93" customFormat="1" ht="15">
      <c r="A6" s="85"/>
      <c r="B6" s="86"/>
      <c r="C6" s="87" t="s">
        <v>35</v>
      </c>
      <c r="D6" s="88" t="s">
        <v>36</v>
      </c>
      <c r="E6" s="89" t="s">
        <v>35</v>
      </c>
      <c r="F6" s="90" t="s">
        <v>36</v>
      </c>
      <c r="G6" s="89" t="s">
        <v>35</v>
      </c>
      <c r="H6" s="88" t="s">
        <v>36</v>
      </c>
      <c r="I6" s="89" t="s">
        <v>35</v>
      </c>
      <c r="J6" s="90" t="s">
        <v>36</v>
      </c>
      <c r="K6" s="89"/>
      <c r="L6" s="91" t="s">
        <v>56</v>
      </c>
      <c r="M6" s="92"/>
      <c r="N6" s="86"/>
      <c r="O6" s="86"/>
    </row>
    <row r="7" spans="1:15" ht="9" customHeight="1">
      <c r="A7" s="34"/>
      <c r="B7" s="32"/>
      <c r="C7" s="37"/>
      <c r="D7" s="32"/>
      <c r="E7" s="37"/>
      <c r="F7" s="35"/>
      <c r="G7" s="37"/>
      <c r="H7" s="33"/>
      <c r="I7" s="110"/>
      <c r="J7" s="35"/>
      <c r="K7" s="34"/>
      <c r="L7" s="67"/>
      <c r="M7" s="36"/>
      <c r="N7" s="32"/>
      <c r="O7" s="32"/>
    </row>
    <row r="8" spans="1:15" ht="12.75" customHeight="1">
      <c r="A8" s="38"/>
      <c r="B8" s="32" t="s">
        <v>37</v>
      </c>
      <c r="C8" s="39">
        <v>15817300</v>
      </c>
      <c r="D8" s="40">
        <f>C8/$C$32</f>
        <v>0.025273922127692482</v>
      </c>
      <c r="E8" s="107">
        <v>19287000</v>
      </c>
      <c r="F8" s="40">
        <f aca="true" t="shared" si="0" ref="F8:F30">E8/$E$32</f>
        <v>0.02587725324099616</v>
      </c>
      <c r="G8" s="107">
        <v>18920500</v>
      </c>
      <c r="H8" s="42">
        <f aca="true" t="shared" si="1" ref="H8:H30">G8/$G$32</f>
        <v>0.026055574024105452</v>
      </c>
      <c r="I8" s="41">
        <f>ROUND((691734800)*J8/100,0)*100+100</f>
        <v>18023600</v>
      </c>
      <c r="J8" s="40">
        <f>H8</f>
        <v>0.026055574024105452</v>
      </c>
      <c r="K8" s="43"/>
      <c r="L8" s="44">
        <f>I8-C8</f>
        <v>2206300</v>
      </c>
      <c r="M8" s="36"/>
      <c r="N8" s="32"/>
      <c r="O8" s="46"/>
    </row>
    <row r="9" spans="1:15" ht="12.75" customHeight="1">
      <c r="A9" s="38"/>
      <c r="B9" s="32" t="s">
        <v>1</v>
      </c>
      <c r="C9" s="102">
        <v>6215700</v>
      </c>
      <c r="D9" s="40">
        <f aca="true" t="shared" si="2" ref="D9:D30">C9/$C$32</f>
        <v>0.009931854220954156</v>
      </c>
      <c r="E9" s="108">
        <v>6605200</v>
      </c>
      <c r="F9" s="40">
        <f t="shared" si="0"/>
        <v>0.008862157572843254</v>
      </c>
      <c r="G9" s="109">
        <v>7038900</v>
      </c>
      <c r="H9" s="42">
        <f t="shared" si="1"/>
        <v>0.00969332628621209</v>
      </c>
      <c r="I9" s="102">
        <f>ROUND((691734800)*J9/100,0)*100</f>
        <v>6705200</v>
      </c>
      <c r="J9" s="40">
        <f aca="true" t="shared" si="3" ref="J9:J30">H9</f>
        <v>0.00969332628621209</v>
      </c>
      <c r="K9" s="43"/>
      <c r="L9" s="47">
        <f>I9-C9</f>
        <v>489500</v>
      </c>
      <c r="M9" s="36"/>
      <c r="N9" s="45"/>
      <c r="O9" s="46"/>
    </row>
    <row r="10" spans="1:15" ht="12.75" customHeight="1">
      <c r="A10" s="38"/>
      <c r="B10" s="32" t="s">
        <v>38</v>
      </c>
      <c r="C10" s="102">
        <v>22678800</v>
      </c>
      <c r="D10" s="40">
        <f t="shared" si="2"/>
        <v>0.03623767805817126</v>
      </c>
      <c r="E10" s="108">
        <v>26243000</v>
      </c>
      <c r="F10" s="40">
        <f t="shared" si="0"/>
        <v>0.03521007708837363</v>
      </c>
      <c r="G10" s="109">
        <v>26135600</v>
      </c>
      <c r="H10" s="42">
        <f t="shared" si="1"/>
        <v>0.03599154675956821</v>
      </c>
      <c r="I10" s="102">
        <f aca="true" t="shared" si="4" ref="I10:I30">ROUND((691734800)*J10/100,0)*100</f>
        <v>24896600</v>
      </c>
      <c r="J10" s="40">
        <f t="shared" si="3"/>
        <v>0.03599154675956821</v>
      </c>
      <c r="K10" s="43"/>
      <c r="L10" s="47">
        <f aca="true" t="shared" si="5" ref="L10:L30">I10-C10</f>
        <v>2217800</v>
      </c>
      <c r="M10" s="36"/>
      <c r="N10" s="45"/>
      <c r="O10" s="46"/>
    </row>
    <row r="11" spans="1:15" ht="12.75" customHeight="1">
      <c r="A11" s="38"/>
      <c r="B11" s="32" t="s">
        <v>39</v>
      </c>
      <c r="C11" s="103">
        <v>28907000</v>
      </c>
      <c r="D11" s="40">
        <f t="shared" si="2"/>
        <v>0.04618950560115864</v>
      </c>
      <c r="E11" s="108">
        <v>34295600</v>
      </c>
      <c r="F11" s="40">
        <f t="shared" si="0"/>
        <v>0.04601420263658982</v>
      </c>
      <c r="G11" s="109">
        <v>32515600</v>
      </c>
      <c r="H11" s="42">
        <f t="shared" si="1"/>
        <v>0.0447774965110966</v>
      </c>
      <c r="I11" s="102">
        <f t="shared" si="4"/>
        <v>30974200</v>
      </c>
      <c r="J11" s="40">
        <f>H11</f>
        <v>0.0447774965110966</v>
      </c>
      <c r="K11" s="43"/>
      <c r="L11" s="47">
        <f t="shared" si="5"/>
        <v>2067200</v>
      </c>
      <c r="M11" s="36"/>
      <c r="N11" s="45"/>
      <c r="O11" s="46"/>
    </row>
    <row r="12" spans="1:15" ht="12.75" customHeight="1">
      <c r="A12" s="38"/>
      <c r="B12" s="32" t="s">
        <v>28</v>
      </c>
      <c r="C12" s="103">
        <v>21925800</v>
      </c>
      <c r="D12" s="40">
        <f t="shared" si="2"/>
        <v>0.03503448513888969</v>
      </c>
      <c r="E12" s="108">
        <v>24660400</v>
      </c>
      <c r="F12" s="40">
        <f t="shared" si="0"/>
        <v>0.033086712076749195</v>
      </c>
      <c r="G12" s="109">
        <v>24513500</v>
      </c>
      <c r="H12" s="42">
        <f t="shared" si="1"/>
        <v>0.0337577396918638</v>
      </c>
      <c r="I12" s="102">
        <f t="shared" si="4"/>
        <v>23351400</v>
      </c>
      <c r="J12" s="40">
        <f t="shared" si="3"/>
        <v>0.0337577396918638</v>
      </c>
      <c r="K12" s="43"/>
      <c r="L12" s="47">
        <f t="shared" si="5"/>
        <v>1425600</v>
      </c>
      <c r="M12" s="36"/>
      <c r="N12" s="45"/>
      <c r="O12" s="46"/>
    </row>
    <row r="13" spans="1:15" ht="12.75" customHeight="1">
      <c r="A13" s="38"/>
      <c r="B13" s="32" t="s">
        <v>40</v>
      </c>
      <c r="C13" s="103">
        <v>34935700</v>
      </c>
      <c r="D13" s="40">
        <f t="shared" si="2"/>
        <v>0.05582255892449573</v>
      </c>
      <c r="E13" s="108">
        <v>41522500</v>
      </c>
      <c r="F13" s="40">
        <f t="shared" si="0"/>
        <v>0.05571049140349785</v>
      </c>
      <c r="G13" s="109">
        <v>41090700</v>
      </c>
      <c r="H13" s="42">
        <f t="shared" si="1"/>
        <v>0.056586336278233125</v>
      </c>
      <c r="I13" s="102">
        <f t="shared" si="4"/>
        <v>39142700</v>
      </c>
      <c r="J13" s="40">
        <f t="shared" si="3"/>
        <v>0.056586336278233125</v>
      </c>
      <c r="K13" s="43"/>
      <c r="L13" s="47">
        <f t="shared" si="5"/>
        <v>4207000</v>
      </c>
      <c r="M13" s="36"/>
      <c r="N13" s="45"/>
      <c r="O13" s="46"/>
    </row>
    <row r="14" spans="1:15" ht="12.75" customHeight="1">
      <c r="A14" s="38"/>
      <c r="B14" s="32" t="s">
        <v>41</v>
      </c>
      <c r="C14" s="102">
        <v>45000900</v>
      </c>
      <c r="D14" s="40">
        <f t="shared" si="2"/>
        <v>0.07190539739880236</v>
      </c>
      <c r="E14" s="108">
        <v>55818500</v>
      </c>
      <c r="F14" s="40">
        <f t="shared" si="0"/>
        <v>0.07489134961541681</v>
      </c>
      <c r="G14" s="109">
        <v>53010900</v>
      </c>
      <c r="H14" s="42">
        <f t="shared" si="1"/>
        <v>0.07300174038923135</v>
      </c>
      <c r="I14" s="102">
        <f>ROUND((691734800)*J14/100,0)*100+100</f>
        <v>50497900</v>
      </c>
      <c r="J14" s="40">
        <f t="shared" si="3"/>
        <v>0.07300174038923135</v>
      </c>
      <c r="K14" s="43"/>
      <c r="L14" s="47">
        <f t="shared" si="5"/>
        <v>5497000</v>
      </c>
      <c r="M14" s="36"/>
      <c r="N14" s="45"/>
      <c r="O14" s="46"/>
    </row>
    <row r="15" spans="1:15" ht="12.75" customHeight="1">
      <c r="A15" s="38"/>
      <c r="B15" s="32" t="s">
        <v>42</v>
      </c>
      <c r="C15" s="102">
        <v>15031900</v>
      </c>
      <c r="D15" s="40">
        <f t="shared" si="2"/>
        <v>0.024018958357700786</v>
      </c>
      <c r="E15" s="108">
        <v>16370600</v>
      </c>
      <c r="F15" s="40">
        <f t="shared" si="0"/>
        <v>0.021964336698659808</v>
      </c>
      <c r="G15" s="109">
        <v>16321500</v>
      </c>
      <c r="H15" s="42">
        <f t="shared" si="1"/>
        <v>0.022476470042252433</v>
      </c>
      <c r="I15" s="102">
        <f t="shared" si="4"/>
        <v>15547800</v>
      </c>
      <c r="J15" s="40">
        <f t="shared" si="3"/>
        <v>0.022476470042252433</v>
      </c>
      <c r="K15" s="43"/>
      <c r="L15" s="47">
        <f t="shared" si="5"/>
        <v>515900</v>
      </c>
      <c r="M15" s="36"/>
      <c r="N15" s="45"/>
      <c r="O15" s="46"/>
    </row>
    <row r="16" spans="1:15" ht="12.75" customHeight="1">
      <c r="A16" s="38"/>
      <c r="B16" s="32" t="s">
        <v>43</v>
      </c>
      <c r="C16" s="102">
        <v>50505800</v>
      </c>
      <c r="D16" s="40">
        <f t="shared" si="2"/>
        <v>0.08070148863565912</v>
      </c>
      <c r="E16" s="108">
        <v>60383400</v>
      </c>
      <c r="F16" s="40">
        <f t="shared" si="0"/>
        <v>0.08101604880760965</v>
      </c>
      <c r="G16" s="109">
        <v>57779000</v>
      </c>
      <c r="H16" s="42">
        <f t="shared" si="1"/>
        <v>0.07956792957579287</v>
      </c>
      <c r="I16" s="102">
        <f t="shared" si="4"/>
        <v>55039900</v>
      </c>
      <c r="J16" s="40">
        <f t="shared" si="3"/>
        <v>0.07956792957579287</v>
      </c>
      <c r="K16" s="43"/>
      <c r="L16" s="47">
        <f t="shared" si="5"/>
        <v>4534100</v>
      </c>
      <c r="M16" s="36"/>
      <c r="N16" s="45"/>
      <c r="O16" s="46"/>
    </row>
    <row r="17" spans="1:15" ht="12.75" customHeight="1">
      <c r="A17" s="38"/>
      <c r="B17" s="32" t="s">
        <v>44</v>
      </c>
      <c r="C17" s="103">
        <v>42333400</v>
      </c>
      <c r="D17" s="40">
        <f t="shared" si="2"/>
        <v>0.0676430904769118</v>
      </c>
      <c r="E17" s="108">
        <v>50150500</v>
      </c>
      <c r="F17" s="40">
        <f t="shared" si="0"/>
        <v>0.067286627711027</v>
      </c>
      <c r="G17" s="109">
        <v>48235200</v>
      </c>
      <c r="H17" s="42">
        <f t="shared" si="1"/>
        <v>0.06642508518102223</v>
      </c>
      <c r="I17" s="102">
        <f t="shared" si="4"/>
        <v>45948500</v>
      </c>
      <c r="J17" s="40">
        <f t="shared" si="3"/>
        <v>0.06642508518102223</v>
      </c>
      <c r="K17" s="43"/>
      <c r="L17" s="47">
        <f t="shared" si="5"/>
        <v>3615100</v>
      </c>
      <c r="M17" s="36"/>
      <c r="N17" s="45"/>
      <c r="O17" s="46"/>
    </row>
    <row r="18" spans="1:15" ht="12.75" customHeight="1">
      <c r="A18" s="38"/>
      <c r="B18" s="32" t="s">
        <v>9</v>
      </c>
      <c r="C18" s="103">
        <v>1638900</v>
      </c>
      <c r="D18" s="40">
        <f t="shared" si="2"/>
        <v>0.0026187421984204136</v>
      </c>
      <c r="E18" s="108">
        <v>1822000</v>
      </c>
      <c r="F18" s="40">
        <f t="shared" si="0"/>
        <v>0.002444566568418883</v>
      </c>
      <c r="G18" s="109">
        <v>1905600</v>
      </c>
      <c r="H18" s="42">
        <f t="shared" si="1"/>
        <v>0.0026242172173217065</v>
      </c>
      <c r="I18" s="102">
        <f t="shared" si="4"/>
        <v>1815300</v>
      </c>
      <c r="J18" s="40">
        <f t="shared" si="3"/>
        <v>0.0026242172173217065</v>
      </c>
      <c r="K18" s="43"/>
      <c r="L18" s="47">
        <f t="shared" si="5"/>
        <v>176400</v>
      </c>
      <c r="M18" s="36"/>
      <c r="N18" s="45"/>
      <c r="O18" s="46"/>
    </row>
    <row r="19" spans="1:15" ht="12.75" customHeight="1">
      <c r="A19" s="38"/>
      <c r="B19" s="32" t="s">
        <v>10</v>
      </c>
      <c r="C19" s="103">
        <v>8975700</v>
      </c>
      <c r="D19" s="40">
        <f t="shared" si="2"/>
        <v>0.014341963725890602</v>
      </c>
      <c r="E19" s="108">
        <v>9255600</v>
      </c>
      <c r="F19" s="40">
        <f t="shared" si="0"/>
        <v>0.012418183496519108</v>
      </c>
      <c r="G19" s="109">
        <v>10125600</v>
      </c>
      <c r="H19" s="42">
        <f t="shared" si="1"/>
        <v>0.013944045894055767</v>
      </c>
      <c r="I19" s="102">
        <f t="shared" si="4"/>
        <v>9645600</v>
      </c>
      <c r="J19" s="40">
        <f t="shared" si="3"/>
        <v>0.013944045894055767</v>
      </c>
      <c r="K19" s="43"/>
      <c r="L19" s="47">
        <f t="shared" si="5"/>
        <v>669900</v>
      </c>
      <c r="M19" s="36"/>
      <c r="N19" s="45"/>
      <c r="O19" s="46"/>
    </row>
    <row r="20" spans="1:15" ht="12.75" customHeight="1">
      <c r="A20" s="38"/>
      <c r="B20" s="32" t="s">
        <v>45</v>
      </c>
      <c r="C20" s="103">
        <v>52903000</v>
      </c>
      <c r="D20" s="40">
        <f t="shared" si="2"/>
        <v>0.08453189244190319</v>
      </c>
      <c r="E20" s="108">
        <v>62846400</v>
      </c>
      <c r="F20" s="40">
        <f t="shared" si="0"/>
        <v>0.08432064126535703</v>
      </c>
      <c r="G20" s="109">
        <v>61985500</v>
      </c>
      <c r="H20" s="42">
        <f t="shared" si="1"/>
        <v>0.08536073484692204</v>
      </c>
      <c r="I20" s="102">
        <f t="shared" si="4"/>
        <v>59047000</v>
      </c>
      <c r="J20" s="40">
        <f t="shared" si="3"/>
        <v>0.08536073484692204</v>
      </c>
      <c r="K20" s="43"/>
      <c r="L20" s="47">
        <f t="shared" si="5"/>
        <v>6144000</v>
      </c>
      <c r="M20" s="36"/>
      <c r="N20" s="45"/>
      <c r="O20" s="46"/>
    </row>
    <row r="21" spans="1:15" ht="12.75" customHeight="1">
      <c r="A21" s="38"/>
      <c r="B21" s="32" t="s">
        <v>46</v>
      </c>
      <c r="C21" s="103">
        <v>31198800</v>
      </c>
      <c r="D21" s="40">
        <f t="shared" si="2"/>
        <v>0.04985149435601855</v>
      </c>
      <c r="E21" s="108">
        <v>36607500</v>
      </c>
      <c r="F21" s="40">
        <f t="shared" si="0"/>
        <v>0.04911606512260937</v>
      </c>
      <c r="G21" s="109">
        <v>35281600</v>
      </c>
      <c r="H21" s="42">
        <f t="shared" si="1"/>
        <v>0.04858657754757426</v>
      </c>
      <c r="I21" s="102">
        <f t="shared" si="4"/>
        <v>33609000</v>
      </c>
      <c r="J21" s="40">
        <f t="shared" si="3"/>
        <v>0.04858657754757426</v>
      </c>
      <c r="K21" s="43"/>
      <c r="L21" s="47">
        <f t="shared" si="5"/>
        <v>2410200</v>
      </c>
      <c r="M21" s="36"/>
      <c r="N21" s="45"/>
      <c r="O21" s="46"/>
    </row>
    <row r="22" spans="1:15" ht="12.75" customHeight="1">
      <c r="A22" s="38"/>
      <c r="B22" s="32" t="s">
        <v>47</v>
      </c>
      <c r="C22" s="103">
        <v>41288400</v>
      </c>
      <c r="D22" s="40">
        <f t="shared" si="2"/>
        <v>0.06597332075493405</v>
      </c>
      <c r="E22" s="108">
        <v>49711900</v>
      </c>
      <c r="F22" s="40">
        <f t="shared" si="0"/>
        <v>0.06669816069845372</v>
      </c>
      <c r="G22" s="109">
        <v>49050700</v>
      </c>
      <c r="H22" s="42">
        <f t="shared" si="1"/>
        <v>0.06754811684597073</v>
      </c>
      <c r="I22" s="102">
        <f t="shared" si="4"/>
        <v>46725400</v>
      </c>
      <c r="J22" s="40">
        <f t="shared" si="3"/>
        <v>0.06754811684597073</v>
      </c>
      <c r="K22" s="43"/>
      <c r="L22" s="47">
        <f t="shared" si="5"/>
        <v>5437000</v>
      </c>
      <c r="M22" s="36"/>
      <c r="N22" s="45"/>
      <c r="O22" s="46"/>
    </row>
    <row r="23" spans="1:15" ht="12.75" customHeight="1">
      <c r="A23" s="38"/>
      <c r="B23" s="32" t="s">
        <v>48</v>
      </c>
      <c r="C23" s="103">
        <v>34143300</v>
      </c>
      <c r="D23" s="40">
        <f t="shared" si="2"/>
        <v>0.054556410094165425</v>
      </c>
      <c r="E23" s="108">
        <v>39632800</v>
      </c>
      <c r="F23" s="40">
        <f t="shared" si="0"/>
        <v>0.0531750921475477</v>
      </c>
      <c r="G23" s="109">
        <v>37932600</v>
      </c>
      <c r="H23" s="42">
        <f t="shared" si="1"/>
        <v>0.05223729115122658</v>
      </c>
      <c r="I23" s="102">
        <f t="shared" si="4"/>
        <v>36134400</v>
      </c>
      <c r="J23" s="40">
        <f t="shared" si="3"/>
        <v>0.05223729115122658</v>
      </c>
      <c r="K23" s="43"/>
      <c r="L23" s="47">
        <f t="shared" si="5"/>
        <v>1991100</v>
      </c>
      <c r="M23" s="36"/>
      <c r="N23" s="45"/>
      <c r="O23" s="46"/>
    </row>
    <row r="24" spans="1:15" ht="12.75" customHeight="1">
      <c r="A24" s="38"/>
      <c r="B24" s="32" t="s">
        <v>49</v>
      </c>
      <c r="C24" s="103">
        <v>40341800</v>
      </c>
      <c r="D24" s="40">
        <f t="shared" si="2"/>
        <v>0.06446078102400186</v>
      </c>
      <c r="E24" s="108">
        <v>49165600</v>
      </c>
      <c r="F24" s="40">
        <f>E24/$E$32</f>
        <v>0.0659651932361446</v>
      </c>
      <c r="G24" s="109">
        <v>47454700</v>
      </c>
      <c r="H24" s="42">
        <f t="shared" si="1"/>
        <v>0.06535025229997711</v>
      </c>
      <c r="I24" s="102">
        <f t="shared" si="4"/>
        <v>45205000</v>
      </c>
      <c r="J24" s="40">
        <f t="shared" si="3"/>
        <v>0.06535025229997711</v>
      </c>
      <c r="K24" s="43"/>
      <c r="L24" s="47">
        <f t="shared" si="5"/>
        <v>4863200</v>
      </c>
      <c r="M24" s="36"/>
      <c r="N24" s="45"/>
      <c r="O24" s="46"/>
    </row>
    <row r="25" spans="1:15" ht="12.75" customHeight="1">
      <c r="A25" s="38"/>
      <c r="B25" s="32" t="s">
        <v>50</v>
      </c>
      <c r="C25" s="103">
        <v>43742300</v>
      </c>
      <c r="D25" s="40">
        <f t="shared" si="2"/>
        <v>0.06989432354992084</v>
      </c>
      <c r="E25" s="108">
        <v>53499500</v>
      </c>
      <c r="F25" s="40">
        <f>E25/$E$32</f>
        <v>0.07177996110160595</v>
      </c>
      <c r="G25" s="109">
        <v>51300700</v>
      </c>
      <c r="H25" s="42">
        <f>G25/$G$32</f>
        <v>0.07064661009690158</v>
      </c>
      <c r="I25" s="102">
        <f t="shared" si="4"/>
        <v>48868700</v>
      </c>
      <c r="J25" s="40">
        <f t="shared" si="3"/>
        <v>0.07064661009690158</v>
      </c>
      <c r="K25" s="43"/>
      <c r="L25" s="47">
        <f t="shared" si="5"/>
        <v>5126400</v>
      </c>
      <c r="M25" s="36"/>
      <c r="N25" s="45"/>
      <c r="O25" s="46"/>
    </row>
    <row r="26" spans="1:15" ht="12.75" customHeight="1">
      <c r="A26" s="38"/>
      <c r="B26" s="32" t="s">
        <v>51</v>
      </c>
      <c r="C26" s="103">
        <v>34907300</v>
      </c>
      <c r="D26" s="40">
        <f t="shared" si="2"/>
        <v>0.05577717953683624</v>
      </c>
      <c r="E26" s="108">
        <v>42500400</v>
      </c>
      <c r="F26" s="40">
        <f t="shared" si="0"/>
        <v>0.057022534019994464</v>
      </c>
      <c r="G26" s="109">
        <v>41399700</v>
      </c>
      <c r="H26" s="42">
        <f t="shared" si="1"/>
        <v>0.0570118626846943</v>
      </c>
      <c r="I26" s="102">
        <f t="shared" si="4"/>
        <v>39437100</v>
      </c>
      <c r="J26" s="40">
        <f t="shared" si="3"/>
        <v>0.0570118626846943</v>
      </c>
      <c r="K26" s="43"/>
      <c r="L26" s="47">
        <f t="shared" si="5"/>
        <v>4529800</v>
      </c>
      <c r="M26" s="36"/>
      <c r="N26" s="45"/>
      <c r="O26" s="46"/>
    </row>
    <row r="27" spans="1:15" ht="12.75" customHeight="1">
      <c r="A27" s="38"/>
      <c r="B27" s="32" t="s">
        <v>52</v>
      </c>
      <c r="C27" s="103">
        <v>14682500</v>
      </c>
      <c r="D27" s="40">
        <f t="shared" si="2"/>
        <v>0.023460664060228033</v>
      </c>
      <c r="E27" s="108">
        <v>17733300</v>
      </c>
      <c r="F27" s="40">
        <f t="shared" si="0"/>
        <v>0.023792663187564535</v>
      </c>
      <c r="G27" s="109">
        <v>16480200</v>
      </c>
      <c r="H27" s="42">
        <f t="shared" si="1"/>
        <v>0.02269501709955142</v>
      </c>
      <c r="I27" s="102">
        <f t="shared" si="4"/>
        <v>15698900</v>
      </c>
      <c r="J27" s="40">
        <f t="shared" si="3"/>
        <v>0.02269501709955142</v>
      </c>
      <c r="K27" s="43"/>
      <c r="L27" s="47">
        <f t="shared" si="5"/>
        <v>1016400</v>
      </c>
      <c r="M27" s="36"/>
      <c r="N27" s="45"/>
      <c r="O27" s="46"/>
    </row>
    <row r="28" spans="1:15" ht="12.75" customHeight="1">
      <c r="A28" s="38"/>
      <c r="B28" s="32" t="s">
        <v>53</v>
      </c>
      <c r="C28" s="103">
        <v>14289900</v>
      </c>
      <c r="D28" s="40">
        <f t="shared" si="2"/>
        <v>0.022833341961808452</v>
      </c>
      <c r="E28" s="108">
        <v>17033000</v>
      </c>
      <c r="F28" s="40">
        <f t="shared" si="0"/>
        <v>0.022853074840767748</v>
      </c>
      <c r="G28" s="109">
        <v>17775600</v>
      </c>
      <c r="H28" s="42">
        <f t="shared" si="1"/>
        <v>0.02447892294722068</v>
      </c>
      <c r="I28" s="102">
        <f t="shared" si="4"/>
        <v>16932900</v>
      </c>
      <c r="J28" s="40">
        <f t="shared" si="3"/>
        <v>0.02447892294722068</v>
      </c>
      <c r="K28" s="43"/>
      <c r="L28" s="47">
        <f t="shared" si="5"/>
        <v>2643000</v>
      </c>
      <c r="M28" s="36"/>
      <c r="N28" s="45"/>
      <c r="O28" s="46"/>
    </row>
    <row r="29" spans="1:15" ht="12.75" customHeight="1">
      <c r="A29" s="38"/>
      <c r="B29" s="32" t="s">
        <v>54</v>
      </c>
      <c r="C29" s="103">
        <v>9644100</v>
      </c>
      <c r="D29" s="40">
        <f t="shared" si="2"/>
        <v>0.015409977201651298</v>
      </c>
      <c r="E29" s="108">
        <v>11662800</v>
      </c>
      <c r="F29" s="40">
        <f t="shared" si="0"/>
        <v>0.015647909425991084</v>
      </c>
      <c r="G29" s="109">
        <v>11756900</v>
      </c>
      <c r="H29" s="42">
        <f t="shared" si="1"/>
        <v>0.016190522356386215</v>
      </c>
      <c r="I29" s="102">
        <f t="shared" si="4"/>
        <v>11199500</v>
      </c>
      <c r="J29" s="40">
        <f t="shared" si="3"/>
        <v>0.016190522356386215</v>
      </c>
      <c r="K29" s="43"/>
      <c r="L29" s="47">
        <f t="shared" si="5"/>
        <v>1555400</v>
      </c>
      <c r="M29" s="36"/>
      <c r="N29" s="45"/>
      <c r="O29" s="46"/>
    </row>
    <row r="30" spans="1:15" ht="12.75" customHeight="1">
      <c r="A30" s="38"/>
      <c r="B30" s="32" t="s">
        <v>55</v>
      </c>
      <c r="C30" s="103">
        <v>14726500</v>
      </c>
      <c r="D30" s="40">
        <f t="shared" si="2"/>
        <v>0.023530970153784993</v>
      </c>
      <c r="E30" s="108">
        <v>18518900</v>
      </c>
      <c r="F30" s="40">
        <f t="shared" si="0"/>
        <v>0.0248466980372626</v>
      </c>
      <c r="G30" s="109">
        <v>18148600</v>
      </c>
      <c r="H30" s="42">
        <f t="shared" si="1"/>
        <v>0.02499258427281944</v>
      </c>
      <c r="I30" s="102">
        <f t="shared" si="4"/>
        <v>17288200</v>
      </c>
      <c r="J30" s="40">
        <f t="shared" si="3"/>
        <v>0.02499258427281944</v>
      </c>
      <c r="K30" s="43"/>
      <c r="L30" s="47">
        <f t="shared" si="5"/>
        <v>2561700</v>
      </c>
      <c r="M30" s="36"/>
      <c r="N30" s="45"/>
      <c r="O30" s="46"/>
    </row>
    <row r="31" spans="1:15" ht="12.75" customHeight="1">
      <c r="A31" s="38"/>
      <c r="B31" s="32"/>
      <c r="C31" s="51"/>
      <c r="D31" s="49"/>
      <c r="E31" s="37"/>
      <c r="F31" s="50"/>
      <c r="G31" s="37"/>
      <c r="H31" s="48"/>
      <c r="I31" s="51"/>
      <c r="J31" s="50"/>
      <c r="K31" s="52"/>
      <c r="L31" s="47"/>
      <c r="M31" s="36"/>
      <c r="N31" s="45"/>
      <c r="O31" s="45"/>
    </row>
    <row r="32" spans="1:15" ht="12.75" customHeight="1">
      <c r="A32" s="53"/>
      <c r="B32" s="54" t="s">
        <v>22</v>
      </c>
      <c r="C32" s="56">
        <f aca="true" t="shared" si="6" ref="C32:J32">SUM(C8:C30)</f>
        <v>625834800</v>
      </c>
      <c r="D32" s="55">
        <f t="shared" si="6"/>
        <v>1</v>
      </c>
      <c r="E32" s="56">
        <f t="shared" si="6"/>
        <v>745326400</v>
      </c>
      <c r="F32" s="57">
        <f t="shared" si="6"/>
        <v>0.9999999999999998</v>
      </c>
      <c r="G32" s="56">
        <f t="shared" si="6"/>
        <v>726159400</v>
      </c>
      <c r="H32" s="55">
        <f t="shared" si="6"/>
        <v>1</v>
      </c>
      <c r="I32" s="56">
        <f>SUM(I8:I31)</f>
        <v>691734800</v>
      </c>
      <c r="J32" s="57">
        <f t="shared" si="6"/>
        <v>1</v>
      </c>
      <c r="K32" s="58"/>
      <c r="L32" s="59">
        <f>SUM(L8:L31)</f>
        <v>65900000</v>
      </c>
      <c r="M32" s="60"/>
      <c r="N32" s="62"/>
      <c r="O32" s="61"/>
    </row>
    <row r="33" spans="3:15" ht="12.75">
      <c r="C33" s="63"/>
      <c r="D33" s="63"/>
      <c r="E33" s="63"/>
      <c r="F33" s="64"/>
      <c r="G33" s="63"/>
      <c r="H33" s="63"/>
      <c r="I33" s="62"/>
      <c r="J33" s="63"/>
      <c r="K33" s="63"/>
      <c r="L33" s="63"/>
      <c r="M33" s="62"/>
      <c r="O33" s="70"/>
    </row>
    <row r="34" spans="1:15" ht="18">
      <c r="A34" s="117" t="s">
        <v>170</v>
      </c>
      <c r="C34" s="65"/>
      <c r="I34" s="65"/>
      <c r="J34" s="65"/>
      <c r="K34" s="65"/>
      <c r="L34" s="65"/>
      <c r="O34" s="70"/>
    </row>
    <row r="35" spans="3:12" ht="12.75">
      <c r="C35" s="105"/>
      <c r="I35" s="65"/>
      <c r="L35" s="65"/>
    </row>
    <row r="36" ht="12.75">
      <c r="C36" s="65"/>
    </row>
  </sheetData>
  <sheetProtection/>
  <mergeCells count="5">
    <mergeCell ref="E4:M4"/>
    <mergeCell ref="E5:F5"/>
    <mergeCell ref="I5:J5"/>
    <mergeCell ref="K5:M5"/>
    <mergeCell ref="C5:D5"/>
  </mergeCells>
  <printOptions/>
  <pageMargins left="0.5" right="0.5" top="0.5" bottom="0.5" header="0.5" footer="0.5"/>
  <pageSetup fitToHeight="1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Rideau</dc:creator>
  <cp:keywords/>
  <dc:description/>
  <cp:lastModifiedBy>Kemsley, Chris</cp:lastModifiedBy>
  <cp:lastPrinted>2012-07-24T16:40:14Z</cp:lastPrinted>
  <dcterms:created xsi:type="dcterms:W3CDTF">2005-01-20T22:46:37Z</dcterms:created>
  <dcterms:modified xsi:type="dcterms:W3CDTF">2018-11-15T22:29:44Z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5c92b23f-4cfa-4155-8f32-f7c2c0f1ca7b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72WVDYXX2UNK-1717399031-170</vt:lpwstr>
  </property>
  <property fmtid="{D5CDD505-2E9C-101B-9397-08002B2CF9AE}" pid="7" name="_dlc_DocIdUrl">
    <vt:lpwstr>https://update.calstate.edu/csu-system/about-the-csu/budget/_layouts/15/DocIdRedir.aspx?ID=72WVDYXX2UNK-1717399031-170, 72WVDYXX2UNK-1717399031-170</vt:lpwstr>
  </property>
</Properties>
</file>