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tabRatio="604" activeTab="0"/>
  </bookViews>
  <sheets>
    <sheet name="Attach A-15-16-GF Summ" sheetId="1" r:id="rId1"/>
    <sheet name="Attach B-Adj to Base GF" sheetId="2" r:id="rId2"/>
    <sheet name="Attach C-Prelim New GF" sheetId="3" r:id="rId3"/>
    <sheet name="Attach D-net-tuition-rev" sheetId="4" r:id="rId4"/>
  </sheets>
  <definedNames>
    <definedName name="_xlnm.Print_Area" localSheetId="1">'Attach B-Adj to Base GF'!$A$1:$P$44</definedName>
    <definedName name="_xlnm.Print_Area" localSheetId="2">'Attach C-Prelim New GF'!$A$1:$R$44</definedName>
  </definedNames>
  <calcPr fullCalcOnLoad="1"/>
</workbook>
</file>

<file path=xl/comments4.xml><?xml version="1.0" encoding="utf-8"?>
<comments xmlns="http://schemas.openxmlformats.org/spreadsheetml/2006/main">
  <authors>
    <author>Rideau, Rodney</author>
    <author>Canfield, Chris</author>
  </authors>
  <commentList>
    <comment ref="E38" authorId="0">
      <text>
        <r>
          <rPr>
            <b/>
            <sz val="9"/>
            <rFont val="Tahoma"/>
            <family val="2"/>
          </rPr>
          <t>Rideau, Rodney:</t>
        </r>
        <r>
          <rPr>
            <sz val="9"/>
            <rFont val="Tahoma"/>
            <family val="2"/>
          </rPr>
          <t xml:space="preserve">
Summer Arts revenue collected and administered by Monterey Bay</t>
        </r>
      </text>
    </comment>
    <comment ref="G36" authorId="1">
      <text>
        <r>
          <rPr>
            <b/>
            <sz val="9"/>
            <rFont val="Tahoma"/>
            <family val="2"/>
          </rPr>
          <t>Canfield, Chris:</t>
        </r>
        <r>
          <rPr>
            <sz val="9"/>
            <rFont val="Tahoma"/>
            <family val="2"/>
          </rPr>
          <t xml:space="preserve">
since base revenue for program at campuses, change in mix revenue (-$1,407,000) not shown here; would result in negative total revenue on this line</t>
        </r>
      </text>
    </comment>
  </commentList>
</comments>
</file>

<file path=xl/sharedStrings.xml><?xml version="1.0" encoding="utf-8"?>
<sst xmlns="http://schemas.openxmlformats.org/spreadsheetml/2006/main" count="181" uniqueCount="89">
  <si>
    <t>Campus/CO Programs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</si>
  <si>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</si>
  <si>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</si>
  <si>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</si>
  <si>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</si>
  <si>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</si>
  <si>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</si>
  <si>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</si>
  <si>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</si>
  <si>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</si>
  <si>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</si>
  <si>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</si>
  <si>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</si>
  <si>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</si>
  <si>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</si>
  <si>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</si>
  <si>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</si>
  <si>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</si>
  <si>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</si>
  <si>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</si>
  <si>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</si>
  <si>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</si>
  <si>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</si>
  <si>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</si>
  <si>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</si>
  <si>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</si>
  <si>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</si>
  <si>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</si>
  <si>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</si>
  <si>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</si>
  <si>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Health</t>
  </si>
  <si>
    <t>New Space</t>
  </si>
  <si>
    <t>Mandatory Costs</t>
  </si>
  <si>
    <t>Budget Plan Allocations</t>
  </si>
  <si>
    <t>Coded Memo B 2014-03 General Fund Allocation</t>
  </si>
  <si>
    <t>(Sum of Cols. 1-6)</t>
  </si>
  <si>
    <t>Discounts</t>
  </si>
  <si>
    <t>(Cols. 2 + 6)</t>
  </si>
  <si>
    <t>GO &amp; Lease Revenue Bond Debt Service</t>
  </si>
  <si>
    <t xml:space="preserve">GO &amp; Lease Revenue Bond Debt Service </t>
  </si>
  <si>
    <t>For Reference Only</t>
  </si>
  <si>
    <t xml:space="preserve">ATTACHMENT B - Revisions to 2014-15 General Fund Allocations </t>
  </si>
  <si>
    <t>ATTACHMENT A - General Fund Summary</t>
  </si>
  <si>
    <t>ATTACHMENT C  - New 2015-16 General Fund Allocations</t>
  </si>
  <si>
    <t>(Sum of Cols. 1-8)</t>
  </si>
  <si>
    <t>(Sum of Cols. 1-3)</t>
  </si>
  <si>
    <t>2014-15 Resident FTES Target</t>
  </si>
  <si>
    <r>
      <t xml:space="preserve">2015-16 Nonresident FTES </t>
    </r>
    <r>
      <rPr>
        <vertAlign val="superscript"/>
        <sz val="11"/>
        <color indexed="8"/>
        <rFont val="Calibri"/>
        <family val="2"/>
      </rPr>
      <t>1</t>
    </r>
  </si>
  <si>
    <t>(Attach. C, Col. 9)</t>
  </si>
  <si>
    <r>
      <t xml:space="preserve"> 2014-15 Final Budget Gross Tuition and Fee Revenue </t>
    </r>
    <r>
      <rPr>
        <i/>
        <sz val="11"/>
        <color indexed="8"/>
        <rFont val="Calibri"/>
        <family val="2"/>
      </rPr>
      <t>(Campus Reported)</t>
    </r>
  </si>
  <si>
    <t>Revisions to 2014-15 General Fund Allocations</t>
  </si>
  <si>
    <t>New 2015-16 General Fund Allocations</t>
  </si>
  <si>
    <t>2014-15 State Funded Retirement Adjustment</t>
  </si>
  <si>
    <t>Funded Student Enrollment Growth</t>
  </si>
  <si>
    <t>2 Percent Employee Compensation Pool Increase</t>
  </si>
  <si>
    <t>2015-16 Resident FTES Increase</t>
  </si>
  <si>
    <t>Total New            2015-16 General Fund Allocations</t>
  </si>
  <si>
    <t>($5,664 GF / FTES)</t>
  </si>
  <si>
    <t>2015-16 Final Budget Allocations</t>
  </si>
  <si>
    <t>Total 2015-16 General Fund Allocations</t>
  </si>
  <si>
    <t xml:space="preserve">2015-16 Final Budget Allocation </t>
  </si>
  <si>
    <t>2015-16 Final Budget Allocation</t>
  </si>
  <si>
    <r>
      <t xml:space="preserve">Retirement </t>
    </r>
    <r>
      <rPr>
        <sz val="9"/>
        <color indexed="8"/>
        <rFont val="Calibri"/>
        <family val="2"/>
      </rPr>
      <t>(new CSU obligation) / Lease Rev. Bond Adj.</t>
    </r>
  </si>
  <si>
    <t>(Attach. B, Col. 4)</t>
  </si>
  <si>
    <t>2015-16 FTES Increase</t>
  </si>
  <si>
    <t>CalStateTEACH</t>
  </si>
  <si>
    <t>Systemwide Initiatives, Performance Funding &amp; Other</t>
  </si>
  <si>
    <t>Coded Memo B 2015-03</t>
  </si>
  <si>
    <t>July 24, 2015</t>
  </si>
  <si>
    <t xml:space="preserve">Student Success &amp; Completion Initiatives </t>
  </si>
  <si>
    <t>2014-15 Supplemental Compensation</t>
  </si>
  <si>
    <r>
      <t xml:space="preserve">GF Adjustment, Tuition Discounts   </t>
    </r>
    <r>
      <rPr>
        <sz val="9"/>
        <color indexed="8"/>
        <rFont val="Calibri"/>
        <family val="2"/>
      </rPr>
      <t>(based on campus relative need)</t>
    </r>
  </si>
  <si>
    <t>Gross Tuition Revenue from 10,400 FTES Funded Enrollment Growth</t>
  </si>
  <si>
    <t>Tuition Discount Increases (distribution based on campus relative need)</t>
  </si>
  <si>
    <t>Adjustments in 2015-16 Tuition Revenue and Discounts</t>
  </si>
  <si>
    <t xml:space="preserve">2014-15 Final Budget Tuition Discounts (Coded Memo B 2014-03) </t>
  </si>
  <si>
    <r>
      <t>Change in Tuition Revenue (instate) paid by Nonresident Students               (based on change in 2013-14 actual)</t>
    </r>
    <r>
      <rPr>
        <vertAlign val="superscript"/>
        <sz val="11"/>
        <color indexed="8"/>
        <rFont val="Calibri"/>
        <family val="2"/>
      </rPr>
      <t xml:space="preserve">2 </t>
    </r>
  </si>
  <si>
    <t>Total 2015-16 Net Tuition and Fee Revenue</t>
  </si>
  <si>
    <t>Total 2015-16 Tuition Discounts</t>
  </si>
  <si>
    <t>Total Revisions to 2014-15 General Fund Allocations</t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</si>
  <si>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Campus base budget adjustments related to Statewide University Policy Association (SUPA), CBID R08 April 2015 settlement agreement. 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</si>
  <si>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Includes deferred maintenance and infrastructure financing, IT infrastructure improvements, funding for performance measures and other systemwide initiatives.  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</si>
  <si>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Represents the year over year adjustment of (instate) tuition revenue (e.g., $5,472 for a full-time undergraduate student) paid by nonresident students. Additional nonresident tuition is not factored here (e.g., $11,160 academic year for full-time student taking 30 units per year).</t>
    </r>
  </si>
  <si>
    <t>Change in Tuition Revenue paid by Resident Students   (based on 2013-14 Change in Student Mix)</t>
  </si>
  <si>
    <t>ATTACHMENT D - Projections of 2015-16 Tuition and Fee Revenues Including Tuition Discounts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</si>
  <si>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Base budget adjustments for campus ancillary support programs in desert studies, palliative care, and educational opportunity programs, and for Chancellor's Office systemwide costs.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</si>
  <si>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The nonresident FTES is equal to the 2013-14 actual FTES.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</si>
  <si>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$250,000 for the Mervyn M. Dymally African American Political and Economic Institute included in the Budget Act of 2015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</si>
  <si>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Augmentation for Center for California Studies included in the Budget Act of 2015.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</si>
</sst>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0.0000%"/>
    <numFmt numFmtId="167" formatCode="#,##0.000_);\(#,##0.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i/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Geneva"/>
      <family val="0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 horizontal="center" wrapText="1"/>
    </xf>
    <xf numFmtId="37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7" fontId="53" fillId="0" borderId="10" xfId="0" applyNumberFormat="1" applyFont="1" applyBorder="1" applyAlignment="1">
      <alignment/>
    </xf>
    <xf numFmtId="37" fontId="53" fillId="0" borderId="0" xfId="0" applyNumberFormat="1" applyFont="1" applyAlignment="1">
      <alignment vertical="center"/>
    </xf>
    <xf numFmtId="37" fontId="53" fillId="0" borderId="11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3" fillId="0" borderId="0" xfId="0" applyNumberFormat="1" applyFont="1" applyAlignment="1">
      <alignment/>
    </xf>
    <xf numFmtId="37" fontId="56" fillId="0" borderId="0" xfId="0" applyNumberFormat="1" applyFont="1" applyAlignment="1">
      <alignment/>
    </xf>
    <xf numFmtId="5" fontId="53" fillId="0" borderId="10" xfId="0" applyNumberFormat="1" applyFont="1" applyBorder="1" applyAlignment="1">
      <alignment/>
    </xf>
    <xf numFmtId="5" fontId="53" fillId="0" borderId="11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/>
    </xf>
    <xf numFmtId="37" fontId="53" fillId="0" borderId="0" xfId="0" applyNumberFormat="1" applyFont="1" applyAlignment="1">
      <alignment horizontal="center" wrapText="1"/>
    </xf>
    <xf numFmtId="37" fontId="12" fillId="0" borderId="0" xfId="0" applyNumberFormat="1" applyFont="1" applyFill="1" applyAlignment="1">
      <alignment horizontal="center" wrapText="1"/>
    </xf>
    <xf numFmtId="37" fontId="13" fillId="0" borderId="0" xfId="0" applyNumberFormat="1" applyFont="1" applyFill="1" applyAlignment="1">
      <alignment horizontal="center" wrapText="1"/>
    </xf>
    <xf numFmtId="37" fontId="57" fillId="0" borderId="0" xfId="0" applyNumberFormat="1" applyFont="1" applyAlignment="1">
      <alignment horizontal="center" wrapText="1"/>
    </xf>
    <xf numFmtId="37" fontId="53" fillId="0" borderId="0" xfId="0" applyNumberFormat="1" applyFont="1" applyBorder="1" applyAlignment="1">
      <alignment horizontal="center" vertical="center"/>
    </xf>
    <xf numFmtId="37" fontId="58" fillId="0" borderId="0" xfId="0" applyNumberFormat="1" applyFont="1" applyAlignment="1">
      <alignment horizontal="left"/>
    </xf>
    <xf numFmtId="37" fontId="53" fillId="0" borderId="11" xfId="0" applyNumberFormat="1" applyFont="1" applyBorder="1" applyAlignment="1">
      <alignment horizontal="center"/>
    </xf>
    <xf numFmtId="37" fontId="53" fillId="0" borderId="12" xfId="0" applyNumberFormat="1" applyFont="1" applyBorder="1" applyAlignment="1">
      <alignment horizontal="center"/>
    </xf>
    <xf numFmtId="37" fontId="53" fillId="0" borderId="0" xfId="0" applyNumberFormat="1" applyFont="1" applyFill="1" applyBorder="1" applyAlignment="1">
      <alignment/>
    </xf>
    <xf numFmtId="37" fontId="53" fillId="0" borderId="0" xfId="0" applyNumberFormat="1" applyFont="1" applyBorder="1" applyAlignment="1">
      <alignment/>
    </xf>
    <xf numFmtId="37" fontId="53" fillId="0" borderId="10" xfId="0" applyNumberFormat="1" applyFont="1" applyBorder="1" applyAlignment="1">
      <alignment horizontal="center"/>
    </xf>
    <xf numFmtId="5" fontId="53" fillId="33" borderId="10" xfId="0" applyNumberFormat="1" applyFont="1" applyFill="1" applyBorder="1" applyAlignment="1">
      <alignment/>
    </xf>
    <xf numFmtId="37" fontId="59" fillId="33" borderId="0" xfId="0" applyNumberFormat="1" applyFont="1" applyFill="1" applyAlignment="1">
      <alignment horizontal="center" wrapText="1"/>
    </xf>
    <xf numFmtId="5" fontId="53" fillId="33" borderId="11" xfId="0" applyNumberFormat="1" applyFont="1" applyFill="1" applyBorder="1" applyAlignment="1">
      <alignment/>
    </xf>
    <xf numFmtId="37" fontId="60" fillId="0" borderId="0" xfId="0" applyNumberFormat="1" applyFont="1" applyFill="1" applyAlignment="1">
      <alignment wrapText="1"/>
    </xf>
    <xf numFmtId="37" fontId="0" fillId="0" borderId="0" xfId="0" applyNumberFormat="1" applyFont="1" applyFill="1" applyBorder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165" fontId="0" fillId="0" borderId="0" xfId="43" applyNumberFormat="1" applyFont="1" applyAlignment="1">
      <alignment/>
    </xf>
    <xf numFmtId="37" fontId="53" fillId="0" borderId="0" xfId="0" applyNumberFormat="1" applyFont="1" applyBorder="1" applyAlignment="1">
      <alignment vertical="center"/>
    </xf>
    <xf numFmtId="5" fontId="53" fillId="0" borderId="0" xfId="0" applyNumberFormat="1" applyFont="1" applyBorder="1" applyAlignment="1">
      <alignment/>
    </xf>
    <xf numFmtId="37" fontId="53" fillId="0" borderId="0" xfId="0" applyNumberFormat="1" applyFont="1" applyBorder="1" applyAlignment="1">
      <alignment horizontal="center"/>
    </xf>
    <xf numFmtId="37" fontId="53" fillId="0" borderId="0" xfId="0" applyNumberFormat="1" applyFont="1" applyFill="1" applyBorder="1" applyAlignment="1">
      <alignment horizontal="center" wrapText="1"/>
    </xf>
    <xf numFmtId="37" fontId="53" fillId="0" borderId="0" xfId="0" applyNumberFormat="1" applyFont="1" applyFill="1" applyAlignment="1">
      <alignment horizontal="center" wrapText="1"/>
    </xf>
    <xf numFmtId="37" fontId="59" fillId="0" borderId="0" xfId="0" applyNumberFormat="1" applyFont="1" applyFill="1" applyAlignment="1">
      <alignment horizontal="center" wrapText="1"/>
    </xf>
    <xf numFmtId="5" fontId="53" fillId="0" borderId="11" xfId="0" applyNumberFormat="1" applyFont="1" applyFill="1" applyBorder="1" applyAlignment="1">
      <alignment/>
    </xf>
    <xf numFmtId="5" fontId="53" fillId="0" borderId="10" xfId="0" applyNumberFormat="1" applyFont="1" applyFill="1" applyBorder="1" applyAlignment="1">
      <alignment/>
    </xf>
    <xf numFmtId="37" fontId="53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37" fontId="6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5" fontId="0" fillId="33" borderId="0" xfId="0" applyNumberFormat="1" applyFont="1" applyFill="1" applyAlignment="1">
      <alignment/>
    </xf>
    <xf numFmtId="5" fontId="0" fillId="0" borderId="11" xfId="0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37" fontId="53" fillId="0" borderId="0" xfId="0" applyNumberFormat="1" applyFont="1" applyAlignment="1">
      <alignment horizontal="right"/>
    </xf>
    <xf numFmtId="37" fontId="55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/>
    </xf>
    <xf numFmtId="37" fontId="61" fillId="0" borderId="0" xfId="0" applyNumberFormat="1" applyFont="1" applyAlignment="1">
      <alignment/>
    </xf>
    <xf numFmtId="37" fontId="62" fillId="0" borderId="0" xfId="0" applyNumberFormat="1" applyFont="1" applyBorder="1" applyAlignment="1">
      <alignment horizontal="center" wrapText="1"/>
    </xf>
    <xf numFmtId="37" fontId="53" fillId="0" borderId="0" xfId="0" applyNumberFormat="1" applyFont="1" applyAlignment="1" quotePrefix="1">
      <alignment horizontal="right"/>
    </xf>
    <xf numFmtId="164" fontId="0" fillId="0" borderId="0" xfId="0" applyNumberFormat="1" applyFont="1" applyAlignment="1">
      <alignment horizontal="right"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7" fontId="53" fillId="0" borderId="12" xfId="0" applyNumberFormat="1" applyFont="1" applyBorder="1" applyAlignment="1">
      <alignment horizontal="center" wrapText="1"/>
    </xf>
    <xf numFmtId="37" fontId="63" fillId="0" borderId="12" xfId="0" applyNumberFormat="1" applyFont="1" applyBorder="1" applyAlignment="1">
      <alignment horizontal="left" wrapText="1"/>
    </xf>
    <xf numFmtId="5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5" fontId="53" fillId="0" borderId="11" xfId="0" applyNumberFormat="1" applyFont="1" applyBorder="1" applyAlignment="1">
      <alignment/>
    </xf>
    <xf numFmtId="37" fontId="53" fillId="0" borderId="11" xfId="0" applyNumberFormat="1" applyFont="1" applyBorder="1" applyAlignment="1">
      <alignment/>
    </xf>
    <xf numFmtId="5" fontId="53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left" wrapText="1"/>
    </xf>
    <xf numFmtId="37" fontId="53" fillId="0" borderId="12" xfId="0" applyNumberFormat="1" applyFont="1" applyBorder="1" applyAlignment="1">
      <alignment horizontal="center" wrapText="1"/>
    </xf>
    <xf numFmtId="37" fontId="53" fillId="0" borderId="12" xfId="0" applyNumberFormat="1" applyFont="1" applyBorder="1" applyAlignment="1">
      <alignment horizontal="center" vertical="center"/>
    </xf>
    <xf numFmtId="37" fontId="53" fillId="0" borderId="12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horizontal="left" wrapText="1"/>
    </xf>
    <xf numFmtId="37" fontId="53" fillId="0" borderId="12" xfId="0" applyNumberFormat="1" applyFont="1" applyFill="1" applyBorder="1" applyAlignment="1">
      <alignment horizontal="center"/>
    </xf>
  </cellXfs>
  <cellStyles count="102">
    <cellStyle name="Normal" xfId="0"/>
    <cellStyle name="_FeeWaiver_rvsd_TBLS24-34_7-23-0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3" xfId="47"/>
    <cellStyle name="Comma 3" xfId="48"/>
    <cellStyle name="Comma 4" xfId="49"/>
    <cellStyle name="Comma 4 2" xfId="50"/>
    <cellStyle name="Comma 5" xfId="51"/>
    <cellStyle name="Comma 6" xfId="52"/>
    <cellStyle name="Comma 6 2" xfId="53"/>
    <cellStyle name="Comma 7" xfId="54"/>
    <cellStyle name="Comma 7 2" xfId="55"/>
    <cellStyle name="Comma 7 3" xfId="56"/>
    <cellStyle name="Comma 7 4" xfId="57"/>
    <cellStyle name="Comma 8" xfId="58"/>
    <cellStyle name="Comma 9" xfId="59"/>
    <cellStyle name="Currency" xfId="60"/>
    <cellStyle name="Currency [0]" xfId="61"/>
    <cellStyle name="Currency 2" xfId="62"/>
    <cellStyle name="Currency 2 2" xfId="63"/>
    <cellStyle name="Currency 2 3" xfId="64"/>
    <cellStyle name="Currency 3" xfId="65"/>
    <cellStyle name="Currency 3 2" xfId="66"/>
    <cellStyle name="Currency 4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0" xfId="77"/>
    <cellStyle name="Normal 11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5 2 2" xfId="88"/>
    <cellStyle name="Normal 5 2 3" xfId="89"/>
    <cellStyle name="Normal 5 2 4" xfId="90"/>
    <cellStyle name="Normal 5 2 4 2" xfId="91"/>
    <cellStyle name="Normal 5 2 5" xfId="92"/>
    <cellStyle name="Normal 5 2 5 2" xfId="93"/>
    <cellStyle name="Normal 5 3" xfId="94"/>
    <cellStyle name="Normal 5 4" xfId="95"/>
    <cellStyle name="Normal 5 5" xfId="96"/>
    <cellStyle name="Normal 5 6" xfId="97"/>
    <cellStyle name="Normal 6" xfId="98"/>
    <cellStyle name="Normal 7" xfId="99"/>
    <cellStyle name="Normal 7 2" xfId="100"/>
    <cellStyle name="Normal 8" xfId="101"/>
    <cellStyle name="Normal 8 2" xfId="102"/>
    <cellStyle name="Normal 9" xfId="103"/>
    <cellStyle name="Note" xfId="104"/>
    <cellStyle name="Output" xfId="105"/>
    <cellStyle name="Percent" xfId="106"/>
    <cellStyle name="Percent 2" xfId="107"/>
    <cellStyle name="Percent 2 2" xfId="108"/>
    <cellStyle name="Percent 3" xfId="109"/>
    <cellStyle name="Percent 4" xfId="110"/>
    <cellStyle name="Percent 5" xfId="111"/>
    <cellStyle name="Style 1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8" sqref="A38"/>
    </sheetView>
  </sheetViews>
  <sheetFormatPr defaultColWidth="8.8515625" defaultRowHeight="15"/>
  <cols>
    <col min="1" max="1" width="36.57421875" style="14" customWidth="1"/>
    <col min="2" max="2" width="14.421875" style="14" bestFit="1" customWidth="1"/>
    <col min="3" max="4" width="13.140625" style="14" bestFit="1" customWidth="1"/>
    <col min="5" max="5" width="14.421875" style="14" bestFit="1" customWidth="1"/>
    <col min="6" max="6" width="2.7109375" style="14" customWidth="1"/>
    <col min="7" max="7" width="14.421875" style="14" customWidth="1"/>
    <col min="8" max="8" width="13.421875" style="14" customWidth="1"/>
    <col min="9" max="9" width="19.7109375" style="14" customWidth="1"/>
    <col min="10" max="10" width="11.8515625" style="14" bestFit="1" customWidth="1"/>
    <col min="11" max="11" width="12.8515625" style="14" bestFit="1" customWidth="1"/>
    <col min="12" max="12" width="8.8515625" style="14" customWidth="1"/>
    <col min="13" max="13" width="11.8515625" style="14" bestFit="1" customWidth="1"/>
    <col min="14" max="14" width="12.8515625" style="14" bestFit="1" customWidth="1"/>
    <col min="15" max="16384" width="8.8515625" style="14" customWidth="1"/>
  </cols>
  <sheetData>
    <row r="1" spans="1:5" ht="18.75">
      <c r="A1" s="9" t="s">
        <v>42</v>
      </c>
      <c r="E1" s="54" t="s">
        <v>67</v>
      </c>
    </row>
    <row r="2" spans="1:5" ht="18.75">
      <c r="A2" s="9" t="s">
        <v>58</v>
      </c>
      <c r="E2" s="61" t="s">
        <v>68</v>
      </c>
    </row>
    <row r="3" ht="14.25" customHeight="1">
      <c r="A3" s="9"/>
    </row>
    <row r="4" spans="1:5" ht="14.25" customHeight="1">
      <c r="A4" s="9"/>
      <c r="B4" s="42">
        <v>-1</v>
      </c>
      <c r="C4" s="42">
        <v>-2</v>
      </c>
      <c r="D4" s="42">
        <v>-3</v>
      </c>
      <c r="E4" s="42">
        <v>-4</v>
      </c>
    </row>
    <row r="5" spans="2:5" ht="61.5" customHeight="1">
      <c r="B5" s="37" t="s">
        <v>34</v>
      </c>
      <c r="C5" s="1" t="s">
        <v>50</v>
      </c>
      <c r="D5" s="1" t="s">
        <v>51</v>
      </c>
      <c r="E5" s="37" t="s">
        <v>59</v>
      </c>
    </row>
    <row r="6" spans="2:5" s="46" customFormat="1" ht="15" customHeight="1">
      <c r="B6" s="37"/>
      <c r="C6" s="38" t="s">
        <v>63</v>
      </c>
      <c r="D6" s="38" t="s">
        <v>48</v>
      </c>
      <c r="E6" s="38" t="s">
        <v>45</v>
      </c>
    </row>
    <row r="7" spans="2:5" s="46" customFormat="1" ht="9" customHeight="1">
      <c r="B7" s="37"/>
      <c r="C7" s="1"/>
      <c r="D7" s="1"/>
      <c r="E7" s="37"/>
    </row>
    <row r="8" spans="1:5" s="44" customFormat="1" ht="15">
      <c r="A8" s="44" t="s">
        <v>1</v>
      </c>
      <c r="B8" s="44">
        <v>54944409</v>
      </c>
      <c r="C8" s="44">
        <f>'Attach B-Adj to Base GF'!O8</f>
        <v>1386900</v>
      </c>
      <c r="D8" s="44">
        <f>'Attach C-Prelim New GF'!R7</f>
        <v>3597000</v>
      </c>
      <c r="E8" s="44">
        <f aca="true" t="shared" si="0" ref="E8:E30">SUM(B8:D8)</f>
        <v>59928309</v>
      </c>
    </row>
    <row r="9" spans="1:14" ht="15">
      <c r="A9" s="14" t="s">
        <v>2</v>
      </c>
      <c r="B9" s="14">
        <v>60207210</v>
      </c>
      <c r="C9" s="14">
        <f>'Attach B-Adj to Base GF'!O9</f>
        <v>1715700</v>
      </c>
      <c r="D9" s="14">
        <f>'Attach C-Prelim New GF'!R8</f>
        <v>5147000</v>
      </c>
      <c r="E9" s="14">
        <f t="shared" si="0"/>
        <v>67069910</v>
      </c>
      <c r="K9" s="44"/>
      <c r="N9" s="44"/>
    </row>
    <row r="10" spans="1:14" ht="15">
      <c r="A10" s="14" t="s">
        <v>3</v>
      </c>
      <c r="B10" s="14">
        <v>92245032</v>
      </c>
      <c r="C10" s="14">
        <f>'Attach B-Adj to Base GF'!O10</f>
        <v>2626200</v>
      </c>
      <c r="D10" s="14">
        <f>'Attach C-Prelim New GF'!R9</f>
        <v>5925000</v>
      </c>
      <c r="E10" s="14">
        <f t="shared" si="0"/>
        <v>100796232</v>
      </c>
      <c r="K10" s="44"/>
      <c r="N10" s="44"/>
    </row>
    <row r="11" spans="1:14" ht="15">
      <c r="A11" s="14" t="s">
        <v>4</v>
      </c>
      <c r="B11" s="14">
        <v>65742152</v>
      </c>
      <c r="C11" s="14">
        <f>'Attach B-Adj to Base GF'!O11</f>
        <v>1769200</v>
      </c>
      <c r="D11" s="14">
        <f>'Attach C-Prelim New GF'!R10</f>
        <v>5163000</v>
      </c>
      <c r="E11" s="14">
        <f t="shared" si="0"/>
        <v>72674352</v>
      </c>
      <c r="K11" s="44"/>
      <c r="N11" s="44"/>
    </row>
    <row r="12" spans="1:14" ht="15">
      <c r="A12" s="14" t="s">
        <v>5</v>
      </c>
      <c r="B12" s="14">
        <v>74079561</v>
      </c>
      <c r="C12" s="14">
        <f>'Attach B-Adj to Base GF'!O12</f>
        <v>2367800</v>
      </c>
      <c r="D12" s="14">
        <f>'Attach C-Prelim New GF'!R11</f>
        <v>5008000</v>
      </c>
      <c r="E12" s="14">
        <f t="shared" si="0"/>
        <v>81455361</v>
      </c>
      <c r="K12" s="44"/>
      <c r="N12" s="44"/>
    </row>
    <row r="13" spans="1:14" ht="15">
      <c r="A13" s="14" t="s">
        <v>6</v>
      </c>
      <c r="B13" s="14">
        <v>118455832</v>
      </c>
      <c r="C13" s="14">
        <f>'Attach B-Adj to Base GF'!O13</f>
        <v>3207700</v>
      </c>
      <c r="D13" s="14">
        <f>'Attach C-Prelim New GF'!R12</f>
        <v>7015000</v>
      </c>
      <c r="E13" s="14">
        <f t="shared" si="0"/>
        <v>128678532</v>
      </c>
      <c r="K13" s="44"/>
      <c r="N13" s="44"/>
    </row>
    <row r="14" spans="1:14" ht="15">
      <c r="A14" s="14" t="s">
        <v>7</v>
      </c>
      <c r="B14" s="14">
        <v>144394061</v>
      </c>
      <c r="C14" s="14">
        <f>'Attach B-Adj to Base GF'!O14</f>
        <v>4868600</v>
      </c>
      <c r="D14" s="14">
        <f>'Attach C-Prelim New GF'!R13</f>
        <v>7951000</v>
      </c>
      <c r="E14" s="14">
        <f t="shared" si="0"/>
        <v>157213661</v>
      </c>
      <c r="K14" s="44"/>
      <c r="N14" s="44"/>
    </row>
    <row r="15" spans="1:14" ht="15">
      <c r="A15" s="14" t="s">
        <v>8</v>
      </c>
      <c r="B15" s="14">
        <v>63858110</v>
      </c>
      <c r="C15" s="14">
        <f>'Attach B-Adj to Base GF'!O15</f>
        <v>1691400</v>
      </c>
      <c r="D15" s="14">
        <f>'Attach C-Prelim New GF'!R14</f>
        <v>3271000</v>
      </c>
      <c r="E15" s="14">
        <f t="shared" si="0"/>
        <v>68820510</v>
      </c>
      <c r="K15" s="44"/>
      <c r="N15" s="44"/>
    </row>
    <row r="16" spans="1:14" ht="15">
      <c r="A16" s="14" t="s">
        <v>9</v>
      </c>
      <c r="B16" s="14">
        <v>156941836.16</v>
      </c>
      <c r="C16" s="14">
        <f>'Attach B-Adj to Base GF'!O16</f>
        <v>5157300</v>
      </c>
      <c r="D16" s="14">
        <f>'Attach C-Prelim New GF'!R15</f>
        <v>7501000</v>
      </c>
      <c r="E16" s="14">
        <f t="shared" si="0"/>
        <v>169600136.16</v>
      </c>
      <c r="K16" s="44"/>
      <c r="N16" s="44"/>
    </row>
    <row r="17" spans="1:14" ht="15">
      <c r="A17" s="14" t="s">
        <v>10</v>
      </c>
      <c r="B17" s="14">
        <v>112197039</v>
      </c>
      <c r="C17" s="14">
        <f>'Attach B-Adj to Base GF'!O17</f>
        <v>3015300</v>
      </c>
      <c r="D17" s="14">
        <f>'Attach C-Prelim New GF'!R16</f>
        <v>6978000</v>
      </c>
      <c r="E17" s="14">
        <f t="shared" si="0"/>
        <v>122190339</v>
      </c>
      <c r="K17" s="44"/>
      <c r="N17" s="44"/>
    </row>
    <row r="18" spans="1:14" ht="15">
      <c r="A18" s="14" t="s">
        <v>11</v>
      </c>
      <c r="B18" s="14">
        <v>26018276</v>
      </c>
      <c r="C18" s="14">
        <f>'Attach B-Adj to Base GF'!O18</f>
        <v>474400</v>
      </c>
      <c r="D18" s="14">
        <f>'Attach C-Prelim New GF'!R17</f>
        <v>1333000</v>
      </c>
      <c r="E18" s="14">
        <f t="shared" si="0"/>
        <v>27825676</v>
      </c>
      <c r="K18" s="44"/>
      <c r="N18" s="44"/>
    </row>
    <row r="19" spans="1:14" ht="15">
      <c r="A19" s="14" t="s">
        <v>12</v>
      </c>
      <c r="B19" s="14">
        <v>57244983</v>
      </c>
      <c r="C19" s="14">
        <f>'Attach B-Adj to Base GF'!O19</f>
        <v>1827800</v>
      </c>
      <c r="D19" s="14">
        <f>'Attach C-Prelim New GF'!R18</f>
        <v>4990000</v>
      </c>
      <c r="E19" s="14">
        <f t="shared" si="0"/>
        <v>64062783</v>
      </c>
      <c r="K19" s="44"/>
      <c r="N19" s="44"/>
    </row>
    <row r="20" spans="1:14" ht="15">
      <c r="A20" s="14" t="s">
        <v>13</v>
      </c>
      <c r="B20" s="14">
        <v>154242396</v>
      </c>
      <c r="C20" s="14">
        <f>'Attach B-Adj to Base GF'!O20</f>
        <v>5009700</v>
      </c>
      <c r="D20" s="14">
        <f>'Attach C-Prelim New GF'!R19</f>
        <v>7363000</v>
      </c>
      <c r="E20" s="14">
        <f t="shared" si="0"/>
        <v>166615096</v>
      </c>
      <c r="K20" s="44"/>
      <c r="N20" s="44"/>
    </row>
    <row r="21" spans="1:14" ht="15">
      <c r="A21" s="14" t="s">
        <v>14</v>
      </c>
      <c r="B21" s="14">
        <v>112335342</v>
      </c>
      <c r="C21" s="14">
        <f>'Attach B-Adj to Base GF'!O21</f>
        <v>3205000</v>
      </c>
      <c r="D21" s="14">
        <f>'Attach C-Prelim New GF'!R20</f>
        <v>5997000</v>
      </c>
      <c r="E21" s="14">
        <f t="shared" si="0"/>
        <v>121537342</v>
      </c>
      <c r="K21" s="44"/>
      <c r="N21" s="44"/>
    </row>
    <row r="22" spans="1:14" ht="15">
      <c r="A22" s="14" t="s">
        <v>15</v>
      </c>
      <c r="B22" s="14">
        <v>126337437</v>
      </c>
      <c r="C22" s="14">
        <f>'Attach B-Adj to Base GF'!O22</f>
        <v>3671700</v>
      </c>
      <c r="D22" s="14">
        <f>'Attach C-Prelim New GF'!R21</f>
        <v>6393000</v>
      </c>
      <c r="E22" s="14">
        <f t="shared" si="0"/>
        <v>136402137</v>
      </c>
      <c r="K22" s="44"/>
      <c r="N22" s="44"/>
    </row>
    <row r="23" spans="1:14" ht="15">
      <c r="A23" s="14" t="s">
        <v>16</v>
      </c>
      <c r="B23" s="14">
        <v>86861208</v>
      </c>
      <c r="C23" s="14">
        <f>'Attach B-Adj to Base GF'!O23</f>
        <v>2636200</v>
      </c>
      <c r="D23" s="14">
        <f>'Attach C-Prelim New GF'!R22</f>
        <v>5421000</v>
      </c>
      <c r="E23" s="14">
        <f t="shared" si="0"/>
        <v>94918408</v>
      </c>
      <c r="K23" s="44"/>
      <c r="N23" s="44"/>
    </row>
    <row r="24" spans="1:14" ht="15">
      <c r="A24" s="14" t="s">
        <v>17</v>
      </c>
      <c r="B24" s="14">
        <v>153746796</v>
      </c>
      <c r="C24" s="14">
        <f>'Attach B-Adj to Base GF'!O24</f>
        <v>4945800</v>
      </c>
      <c r="D24" s="14">
        <f>'Attach C-Prelim New GF'!R23</f>
        <v>7079000</v>
      </c>
      <c r="E24" s="14">
        <f t="shared" si="0"/>
        <v>165771596</v>
      </c>
      <c r="K24" s="44"/>
      <c r="N24" s="44"/>
    </row>
    <row r="25" spans="1:14" ht="15">
      <c r="A25" s="14" t="s">
        <v>18</v>
      </c>
      <c r="B25" s="14">
        <v>131532859</v>
      </c>
      <c r="C25" s="14">
        <f>'Attach B-Adj to Base GF'!O25</f>
        <v>4636000</v>
      </c>
      <c r="D25" s="14">
        <f>'Attach C-Prelim New GF'!R24</f>
        <v>6541000</v>
      </c>
      <c r="E25" s="14">
        <f t="shared" si="0"/>
        <v>142709859</v>
      </c>
      <c r="K25" s="44"/>
      <c r="N25" s="44"/>
    </row>
    <row r="26" spans="1:14" ht="15">
      <c r="A26" s="14" t="s">
        <v>19</v>
      </c>
      <c r="B26" s="14">
        <v>124051382</v>
      </c>
      <c r="C26" s="14">
        <f>'Attach B-Adj to Base GF'!O26</f>
        <v>4223900</v>
      </c>
      <c r="D26" s="14">
        <f>'Attach C-Prelim New GF'!R25</f>
        <v>6567000</v>
      </c>
      <c r="E26" s="14">
        <f t="shared" si="0"/>
        <v>134842282</v>
      </c>
      <c r="K26" s="44"/>
      <c r="N26" s="44"/>
    </row>
    <row r="27" spans="1:14" ht="15">
      <c r="A27" s="14" t="s">
        <v>20</v>
      </c>
      <c r="B27" s="14">
        <v>105471968</v>
      </c>
      <c r="C27" s="14">
        <f>'Attach B-Adj to Base GF'!O27</f>
        <v>3927500</v>
      </c>
      <c r="D27" s="14">
        <f>'Attach C-Prelim New GF'!R26</f>
        <v>5004000</v>
      </c>
      <c r="E27" s="14">
        <f t="shared" si="0"/>
        <v>114403468</v>
      </c>
      <c r="K27" s="44"/>
      <c r="N27" s="44"/>
    </row>
    <row r="28" spans="1:14" ht="15">
      <c r="A28" s="14" t="s">
        <v>21</v>
      </c>
      <c r="B28" s="14">
        <v>62268552</v>
      </c>
      <c r="C28" s="14">
        <f>'Attach B-Adj to Base GF'!O28</f>
        <v>2099000</v>
      </c>
      <c r="D28" s="14">
        <f>'Attach C-Prelim New GF'!R27</f>
        <v>5342000</v>
      </c>
      <c r="E28" s="14">
        <f t="shared" si="0"/>
        <v>69709552</v>
      </c>
      <c r="K28" s="44"/>
      <c r="N28" s="44"/>
    </row>
    <row r="29" spans="1:14" ht="15">
      <c r="A29" s="14" t="s">
        <v>22</v>
      </c>
      <c r="B29" s="14">
        <v>53742483</v>
      </c>
      <c r="C29" s="14">
        <f>'Attach B-Adj to Base GF'!O29</f>
        <v>1540400</v>
      </c>
      <c r="D29" s="14">
        <f>'Attach C-Prelim New GF'!R28</f>
        <v>3285000</v>
      </c>
      <c r="E29" s="14">
        <f t="shared" si="0"/>
        <v>58567883</v>
      </c>
      <c r="K29" s="44"/>
      <c r="N29" s="44"/>
    </row>
    <row r="30" spans="1:14" ht="15">
      <c r="A30" s="14" t="s">
        <v>23</v>
      </c>
      <c r="B30" s="14">
        <v>52742547</v>
      </c>
      <c r="C30" s="14">
        <f>'Attach B-Adj to Base GF'!O30</f>
        <v>1358600</v>
      </c>
      <c r="D30" s="14">
        <f>'Attach C-Prelim New GF'!R29</f>
        <v>3599000</v>
      </c>
      <c r="E30" s="14">
        <f t="shared" si="0"/>
        <v>57700147</v>
      </c>
      <c r="K30" s="44"/>
      <c r="N30" s="44"/>
    </row>
    <row r="31" ht="6" customHeight="1"/>
    <row r="32" spans="1:6" s="44" customFormat="1" ht="15">
      <c r="A32" s="11" t="s">
        <v>24</v>
      </c>
      <c r="B32" s="11">
        <v>2189661471.16</v>
      </c>
      <c r="C32" s="11">
        <f>SUM(C8:C30)</f>
        <v>67362100</v>
      </c>
      <c r="D32" s="11">
        <f>SUM(D8:D30)</f>
        <v>126470000</v>
      </c>
      <c r="E32" s="11">
        <f>SUM(E8:E30)</f>
        <v>2383493571.16</v>
      </c>
      <c r="F32" s="52"/>
    </row>
    <row r="33" ht="6" customHeight="1"/>
    <row r="34" spans="1:5" ht="15">
      <c r="A34" s="14" t="s">
        <v>25</v>
      </c>
      <c r="B34" s="14">
        <v>89108999</v>
      </c>
      <c r="C34" s="14">
        <f>'Attach B-Adj to Base GF'!O34</f>
        <v>3329000</v>
      </c>
      <c r="D34" s="14">
        <f>'Attach C-Prelim New GF'!R33</f>
        <v>1390000</v>
      </c>
      <c r="E34" s="14">
        <f aca="true" t="shared" si="1" ref="E34:E39">SUM(B34:D34)</f>
        <v>93827999</v>
      </c>
    </row>
    <row r="35" spans="1:5" ht="15">
      <c r="A35" s="14" t="s">
        <v>65</v>
      </c>
      <c r="B35" s="14">
        <v>884735</v>
      </c>
      <c r="D35" s="14">
        <f>'Attach C-Prelim New GF'!R34</f>
        <v>242000</v>
      </c>
      <c r="E35" s="14">
        <f t="shared" si="1"/>
        <v>1126735</v>
      </c>
    </row>
    <row r="36" spans="1:5" ht="15">
      <c r="A36" s="14" t="s">
        <v>26</v>
      </c>
      <c r="B36" s="14">
        <v>2536619</v>
      </c>
      <c r="D36" s="14">
        <f>'Attach C-Prelim New GF'!R35</f>
        <v>128000</v>
      </c>
      <c r="E36" s="14">
        <f t="shared" si="1"/>
        <v>2664619</v>
      </c>
    </row>
    <row r="37" spans="1:5" ht="15">
      <c r="A37" s="14" t="s">
        <v>27</v>
      </c>
      <c r="B37" s="14">
        <v>11800</v>
      </c>
      <c r="D37" s="14">
        <f>'Attach C-Prelim New GF'!R36</f>
        <v>23000</v>
      </c>
      <c r="E37" s="14">
        <f t="shared" si="1"/>
        <v>34800</v>
      </c>
    </row>
    <row r="38" spans="1:5" ht="15">
      <c r="A38" s="14" t="s">
        <v>28</v>
      </c>
      <c r="B38" s="14">
        <v>117235376</v>
      </c>
      <c r="C38" s="14">
        <f>'Attach B-Adj to Base GF'!O38</f>
        <v>-4428100</v>
      </c>
      <c r="D38" s="14">
        <f>'Attach C-Prelim New GF'!R37</f>
        <v>89164000</v>
      </c>
      <c r="E38" s="14">
        <f t="shared" si="1"/>
        <v>201971276</v>
      </c>
    </row>
    <row r="39" spans="1:5" ht="15">
      <c r="A39" s="14" t="s">
        <v>38</v>
      </c>
      <c r="B39" s="14">
        <v>296316000</v>
      </c>
      <c r="D39" s="14">
        <f>'Attach C-Prelim New GF'!R38</f>
        <v>7628000</v>
      </c>
      <c r="E39" s="14">
        <f t="shared" si="1"/>
        <v>303944000</v>
      </c>
    </row>
    <row r="40" ht="8.25" customHeight="1"/>
    <row r="41" spans="1:6" s="44" customFormat="1" ht="15.75" thickBot="1">
      <c r="A41" s="10" t="s">
        <v>29</v>
      </c>
      <c r="B41" s="10">
        <v>2695755000.16</v>
      </c>
      <c r="C41" s="10">
        <f>SUM(C32:C39)</f>
        <v>66263000</v>
      </c>
      <c r="D41" s="10">
        <f>SUM(D32:D39)</f>
        <v>225045000</v>
      </c>
      <c r="E41" s="10">
        <f>SUM(E32:E39)</f>
        <v>2987063000.16</v>
      </c>
      <c r="F41" s="53"/>
    </row>
    <row r="43" spans="5:9" ht="15">
      <c r="E43" s="43"/>
      <c r="F43" s="43"/>
      <c r="G43" s="43"/>
      <c r="H43" s="43"/>
      <c r="I43" s="43"/>
    </row>
    <row r="44" spans="6:11" ht="15">
      <c r="F44" s="43"/>
      <c r="G44" s="43"/>
      <c r="H44" s="43"/>
      <c r="I44" s="43"/>
      <c r="K44" s="44"/>
    </row>
    <row r="45" spans="5:9" ht="15">
      <c r="E45" s="43"/>
      <c r="F45" s="43"/>
      <c r="G45" s="43"/>
      <c r="H45" s="43"/>
      <c r="I45" s="43"/>
    </row>
    <row r="46" spans="5:9" ht="15">
      <c r="E46" s="43"/>
      <c r="F46" s="43"/>
      <c r="G46" s="43"/>
      <c r="H46" s="43"/>
      <c r="I46" s="43"/>
    </row>
    <row r="47" spans="5:9" ht="15">
      <c r="E47" s="43"/>
      <c r="F47" s="43"/>
      <c r="G47" s="43"/>
      <c r="H47" s="43"/>
      <c r="I47" s="43"/>
    </row>
    <row r="48" spans="5:9" ht="15">
      <c r="E48" s="43"/>
      <c r="F48" s="43"/>
      <c r="G48" s="43"/>
      <c r="H48" s="43"/>
      <c r="I48" s="43"/>
    </row>
  </sheetData>
  <sheetProtection/>
  <printOptions horizontalCentered="1"/>
  <pageMargins left="0.7" right="0.7" top="0.25" bottom="0.5" header="0.3" footer="0.3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43" sqref="A43:O43"/>
    </sheetView>
  </sheetViews>
  <sheetFormatPr defaultColWidth="8.8515625" defaultRowHeight="15"/>
  <cols>
    <col min="1" max="1" width="40.7109375" style="14" bestFit="1" customWidth="1"/>
    <col min="2" max="2" width="2.7109375" style="14" customWidth="1"/>
    <col min="3" max="3" width="11.7109375" style="42" bestFit="1" customWidth="1"/>
    <col min="4" max="5" width="2.7109375" style="42" customWidth="1"/>
    <col min="6" max="6" width="2.7109375" style="14" customWidth="1"/>
    <col min="7" max="7" width="10.7109375" style="14" bestFit="1" customWidth="1"/>
    <col min="8" max="10" width="2.7109375" style="14" customWidth="1"/>
    <col min="11" max="11" width="10.7109375" style="14" bestFit="1" customWidth="1"/>
    <col min="12" max="14" width="2.7109375" style="14" customWidth="1"/>
    <col min="15" max="15" width="13.28125" style="14" bestFit="1" customWidth="1"/>
    <col min="16" max="16" width="2.7109375" style="14" customWidth="1"/>
    <col min="17" max="17" width="13.421875" style="43" customWidth="1"/>
    <col min="18" max="16384" width="8.8515625" style="14" customWidth="1"/>
  </cols>
  <sheetData>
    <row r="1" spans="1:2" ht="18.75">
      <c r="A1" s="3" t="s">
        <v>41</v>
      </c>
      <c r="B1" s="3"/>
    </row>
    <row r="2" spans="1:2" ht="18" customHeight="1">
      <c r="A2" s="3" t="s">
        <v>60</v>
      </c>
      <c r="B2" s="3"/>
    </row>
    <row r="3" spans="1:2" ht="18" customHeight="1">
      <c r="A3" s="3"/>
      <c r="B3" s="3"/>
    </row>
    <row r="4" spans="3:15" ht="15">
      <c r="C4" s="42">
        <v>-1</v>
      </c>
      <c r="G4" s="42">
        <v>-2</v>
      </c>
      <c r="H4" s="42"/>
      <c r="I4" s="42"/>
      <c r="J4" s="42"/>
      <c r="K4" s="42">
        <v>-3</v>
      </c>
      <c r="O4" s="42">
        <v>-4</v>
      </c>
    </row>
    <row r="5" spans="1:16" ht="45.75" customHeight="1" thickBot="1">
      <c r="A5" s="13"/>
      <c r="B5" s="74" t="s">
        <v>52</v>
      </c>
      <c r="C5" s="74"/>
      <c r="D5" s="74"/>
      <c r="E5" s="66"/>
      <c r="F5" s="74" t="s">
        <v>0</v>
      </c>
      <c r="G5" s="74"/>
      <c r="H5" s="74"/>
      <c r="I5" s="67">
        <v>1</v>
      </c>
      <c r="J5" s="74" t="s">
        <v>70</v>
      </c>
      <c r="K5" s="74"/>
      <c r="L5" s="74"/>
      <c r="M5" s="67">
        <v>2</v>
      </c>
      <c r="N5" s="74" t="s">
        <v>79</v>
      </c>
      <c r="O5" s="74"/>
      <c r="P5" s="74"/>
    </row>
    <row r="6" spans="1:15" ht="24.75">
      <c r="A6" s="13"/>
      <c r="B6" s="13"/>
      <c r="C6" s="60"/>
      <c r="D6" s="60"/>
      <c r="E6" s="60"/>
      <c r="F6" s="15"/>
      <c r="G6" s="15"/>
      <c r="H6" s="15"/>
      <c r="I6" s="15"/>
      <c r="J6" s="15"/>
      <c r="K6" s="15"/>
      <c r="L6" s="15"/>
      <c r="M6" s="15"/>
      <c r="N6" s="15"/>
      <c r="O6" s="38" t="s">
        <v>45</v>
      </c>
    </row>
    <row r="7" spans="1:15" ht="6" customHeight="1">
      <c r="A7" s="13"/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7" ht="15">
      <c r="A8" s="14" t="s">
        <v>1</v>
      </c>
      <c r="C8" s="68">
        <v>1359000</v>
      </c>
      <c r="D8" s="68"/>
      <c r="E8" s="68"/>
      <c r="F8" s="68"/>
      <c r="G8" s="68"/>
      <c r="H8" s="68"/>
      <c r="I8" s="68"/>
      <c r="J8" s="68"/>
      <c r="K8" s="68">
        <v>27900</v>
      </c>
      <c r="L8" s="68"/>
      <c r="M8" s="68"/>
      <c r="N8" s="68"/>
      <c r="O8" s="68">
        <f aca="true" t="shared" si="0" ref="O8:O30">SUM(C8:K8)</f>
        <v>1386900</v>
      </c>
      <c r="Q8" s="63"/>
    </row>
    <row r="9" spans="1:15" ht="15">
      <c r="A9" s="14" t="s">
        <v>2</v>
      </c>
      <c r="C9" s="69">
        <v>1188000</v>
      </c>
      <c r="D9" s="69"/>
      <c r="E9" s="69"/>
      <c r="F9" s="69"/>
      <c r="G9" s="69">
        <f>ROUND(490357,-2)</f>
        <v>490400</v>
      </c>
      <c r="H9" s="69"/>
      <c r="I9" s="69"/>
      <c r="J9" s="69"/>
      <c r="K9" s="69">
        <v>37300</v>
      </c>
      <c r="L9" s="69"/>
      <c r="M9" s="69"/>
      <c r="N9" s="69"/>
      <c r="O9" s="69">
        <f t="shared" si="0"/>
        <v>1715700</v>
      </c>
    </row>
    <row r="10" spans="1:15" ht="15">
      <c r="A10" s="14" t="s">
        <v>3</v>
      </c>
      <c r="C10" s="69">
        <v>2586000</v>
      </c>
      <c r="D10" s="69"/>
      <c r="E10" s="69"/>
      <c r="F10" s="69"/>
      <c r="G10" s="69"/>
      <c r="H10" s="69"/>
      <c r="I10" s="69"/>
      <c r="J10" s="69"/>
      <c r="K10" s="69">
        <v>40200</v>
      </c>
      <c r="L10" s="69"/>
      <c r="M10" s="69"/>
      <c r="N10" s="69"/>
      <c r="O10" s="69">
        <f t="shared" si="0"/>
        <v>2626200</v>
      </c>
    </row>
    <row r="11" spans="1:15" ht="15">
      <c r="A11" s="14" t="s">
        <v>4</v>
      </c>
      <c r="C11" s="69">
        <v>1718000</v>
      </c>
      <c r="D11" s="69"/>
      <c r="E11" s="69"/>
      <c r="F11" s="69"/>
      <c r="G11" s="69"/>
      <c r="H11" s="69"/>
      <c r="I11" s="69"/>
      <c r="J11" s="69"/>
      <c r="K11" s="69">
        <v>51200</v>
      </c>
      <c r="L11" s="69"/>
      <c r="M11" s="69"/>
      <c r="N11" s="69"/>
      <c r="O11" s="69">
        <f t="shared" si="0"/>
        <v>1769200</v>
      </c>
    </row>
    <row r="12" spans="1:15" ht="15">
      <c r="A12" s="14" t="s">
        <v>5</v>
      </c>
      <c r="C12" s="69">
        <v>2330000</v>
      </c>
      <c r="D12" s="69"/>
      <c r="E12" s="69"/>
      <c r="F12" s="69"/>
      <c r="G12" s="69"/>
      <c r="H12" s="69"/>
      <c r="I12" s="69"/>
      <c r="J12" s="69"/>
      <c r="K12" s="69">
        <v>37800</v>
      </c>
      <c r="L12" s="69"/>
      <c r="M12" s="69"/>
      <c r="N12" s="69"/>
      <c r="O12" s="69">
        <f t="shared" si="0"/>
        <v>2367800</v>
      </c>
    </row>
    <row r="13" spans="1:15" ht="15">
      <c r="A13" s="14" t="s">
        <v>6</v>
      </c>
      <c r="C13" s="69">
        <v>3159000</v>
      </c>
      <c r="D13" s="69"/>
      <c r="E13" s="69"/>
      <c r="F13" s="69"/>
      <c r="G13" s="69"/>
      <c r="H13" s="69"/>
      <c r="I13" s="69"/>
      <c r="J13" s="69"/>
      <c r="K13" s="69">
        <v>48700</v>
      </c>
      <c r="L13" s="69"/>
      <c r="M13" s="69"/>
      <c r="N13" s="69"/>
      <c r="O13" s="69">
        <f t="shared" si="0"/>
        <v>3207700</v>
      </c>
    </row>
    <row r="14" spans="1:15" ht="15">
      <c r="A14" s="14" t="s">
        <v>7</v>
      </c>
      <c r="C14" s="69">
        <v>4768000</v>
      </c>
      <c r="D14" s="69"/>
      <c r="E14" s="69"/>
      <c r="F14" s="69"/>
      <c r="G14" s="69">
        <v>25000</v>
      </c>
      <c r="H14" s="69"/>
      <c r="I14" s="69"/>
      <c r="J14" s="69"/>
      <c r="K14" s="69">
        <v>75600</v>
      </c>
      <c r="L14" s="69"/>
      <c r="M14" s="69"/>
      <c r="N14" s="69"/>
      <c r="O14" s="69">
        <f t="shared" si="0"/>
        <v>4868600</v>
      </c>
    </row>
    <row r="15" spans="1:15" ht="15">
      <c r="A15" s="14" t="s">
        <v>8</v>
      </c>
      <c r="C15" s="69">
        <v>1661000</v>
      </c>
      <c r="D15" s="69"/>
      <c r="E15" s="69"/>
      <c r="F15" s="69"/>
      <c r="G15" s="69"/>
      <c r="H15" s="69"/>
      <c r="I15" s="69"/>
      <c r="J15" s="69"/>
      <c r="K15" s="69">
        <v>30400</v>
      </c>
      <c r="L15" s="69"/>
      <c r="M15" s="69"/>
      <c r="N15" s="69"/>
      <c r="O15" s="69">
        <f t="shared" si="0"/>
        <v>1691400</v>
      </c>
    </row>
    <row r="16" spans="1:15" ht="15">
      <c r="A16" s="14" t="s">
        <v>9</v>
      </c>
      <c r="C16" s="69">
        <v>5097000</v>
      </c>
      <c r="D16" s="69"/>
      <c r="E16" s="69"/>
      <c r="F16" s="69"/>
      <c r="G16" s="69"/>
      <c r="H16" s="69"/>
      <c r="I16" s="69"/>
      <c r="J16" s="69"/>
      <c r="K16" s="69">
        <v>60300</v>
      </c>
      <c r="L16" s="69"/>
      <c r="M16" s="69"/>
      <c r="N16" s="69"/>
      <c r="O16" s="69">
        <f t="shared" si="0"/>
        <v>5157300</v>
      </c>
    </row>
    <row r="17" spans="1:15" ht="15">
      <c r="A17" s="14" t="s">
        <v>10</v>
      </c>
      <c r="C17" s="69">
        <v>2967000</v>
      </c>
      <c r="D17" s="69"/>
      <c r="E17" s="69"/>
      <c r="F17" s="69"/>
      <c r="G17" s="69"/>
      <c r="H17" s="69"/>
      <c r="I17" s="69"/>
      <c r="J17" s="69"/>
      <c r="K17" s="69">
        <v>48300</v>
      </c>
      <c r="L17" s="69"/>
      <c r="M17" s="69"/>
      <c r="N17" s="69"/>
      <c r="O17" s="69">
        <f t="shared" si="0"/>
        <v>3015300</v>
      </c>
    </row>
    <row r="18" spans="1:15" ht="15">
      <c r="A18" s="14" t="s">
        <v>11</v>
      </c>
      <c r="C18" s="69">
        <v>452000</v>
      </c>
      <c r="D18" s="69"/>
      <c r="E18" s="69"/>
      <c r="F18" s="69"/>
      <c r="G18" s="69"/>
      <c r="H18" s="69"/>
      <c r="I18" s="69"/>
      <c r="J18" s="69"/>
      <c r="K18" s="69">
        <v>22400</v>
      </c>
      <c r="L18" s="69"/>
      <c r="M18" s="69"/>
      <c r="N18" s="69"/>
      <c r="O18" s="69">
        <f t="shared" si="0"/>
        <v>474400</v>
      </c>
    </row>
    <row r="19" spans="1:15" ht="15">
      <c r="A19" s="14" t="s">
        <v>12</v>
      </c>
      <c r="C19" s="69">
        <v>1175000</v>
      </c>
      <c r="D19" s="69"/>
      <c r="E19" s="69"/>
      <c r="F19" s="69"/>
      <c r="G19" s="69">
        <f>ROUND(621651,-2)</f>
        <v>621700</v>
      </c>
      <c r="H19" s="69"/>
      <c r="I19" s="69"/>
      <c r="J19" s="69"/>
      <c r="K19" s="69">
        <v>31100</v>
      </c>
      <c r="L19" s="69"/>
      <c r="M19" s="69"/>
      <c r="N19" s="69"/>
      <c r="O19" s="69">
        <f t="shared" si="0"/>
        <v>1827800</v>
      </c>
    </row>
    <row r="20" spans="1:15" ht="15">
      <c r="A20" s="14" t="s">
        <v>13</v>
      </c>
      <c r="C20" s="69">
        <v>4959000</v>
      </c>
      <c r="D20" s="69"/>
      <c r="E20" s="69"/>
      <c r="F20" s="69"/>
      <c r="G20" s="69"/>
      <c r="H20" s="69"/>
      <c r="I20" s="69"/>
      <c r="J20" s="69"/>
      <c r="K20" s="69">
        <v>50700</v>
      </c>
      <c r="L20" s="69"/>
      <c r="M20" s="69"/>
      <c r="N20" s="69"/>
      <c r="O20" s="69">
        <f t="shared" si="0"/>
        <v>5009700</v>
      </c>
    </row>
    <row r="21" spans="1:15" ht="15">
      <c r="A21" s="14" t="s">
        <v>14</v>
      </c>
      <c r="C21" s="69">
        <v>3166000</v>
      </c>
      <c r="D21" s="69"/>
      <c r="E21" s="69"/>
      <c r="F21" s="69"/>
      <c r="G21" s="69"/>
      <c r="H21" s="69"/>
      <c r="I21" s="69"/>
      <c r="J21" s="69"/>
      <c r="K21" s="69">
        <v>39000</v>
      </c>
      <c r="L21" s="69"/>
      <c r="M21" s="69"/>
      <c r="N21" s="69"/>
      <c r="O21" s="69">
        <f t="shared" si="0"/>
        <v>3205000</v>
      </c>
    </row>
    <row r="22" spans="1:15" ht="15">
      <c r="A22" s="14" t="s">
        <v>15</v>
      </c>
      <c r="C22" s="69">
        <v>3614000</v>
      </c>
      <c r="D22" s="69"/>
      <c r="E22" s="69"/>
      <c r="F22" s="69"/>
      <c r="G22" s="69"/>
      <c r="H22" s="69"/>
      <c r="I22" s="69"/>
      <c r="J22" s="69"/>
      <c r="K22" s="69">
        <v>57700</v>
      </c>
      <c r="L22" s="69"/>
      <c r="M22" s="69"/>
      <c r="N22" s="69"/>
      <c r="O22" s="69">
        <f t="shared" si="0"/>
        <v>3671700</v>
      </c>
    </row>
    <row r="23" spans="1:15" ht="15">
      <c r="A23" s="14" t="s">
        <v>16</v>
      </c>
      <c r="C23" s="69">
        <v>2599000</v>
      </c>
      <c r="D23" s="69"/>
      <c r="E23" s="69"/>
      <c r="F23" s="69"/>
      <c r="G23" s="69"/>
      <c r="H23" s="69"/>
      <c r="I23" s="69"/>
      <c r="J23" s="69"/>
      <c r="K23" s="69">
        <v>37200</v>
      </c>
      <c r="L23" s="69"/>
      <c r="M23" s="69"/>
      <c r="N23" s="69"/>
      <c r="O23" s="69">
        <f t="shared" si="0"/>
        <v>2636200</v>
      </c>
    </row>
    <row r="24" spans="1:15" ht="15">
      <c r="A24" s="14" t="s">
        <v>17</v>
      </c>
      <c r="C24" s="69">
        <v>4899000</v>
      </c>
      <c r="D24" s="69"/>
      <c r="E24" s="69"/>
      <c r="F24" s="69"/>
      <c r="G24" s="69"/>
      <c r="H24" s="69"/>
      <c r="I24" s="69"/>
      <c r="J24" s="69"/>
      <c r="K24" s="69">
        <v>46800</v>
      </c>
      <c r="L24" s="69"/>
      <c r="M24" s="69"/>
      <c r="N24" s="69"/>
      <c r="O24" s="69">
        <f t="shared" si="0"/>
        <v>4945800</v>
      </c>
    </row>
    <row r="25" spans="1:15" ht="15">
      <c r="A25" s="14" t="s">
        <v>18</v>
      </c>
      <c r="C25" s="69">
        <v>4555000</v>
      </c>
      <c r="D25" s="69"/>
      <c r="E25" s="69"/>
      <c r="F25" s="69"/>
      <c r="G25" s="69"/>
      <c r="H25" s="69"/>
      <c r="I25" s="69"/>
      <c r="J25" s="69"/>
      <c r="K25" s="69">
        <v>81000</v>
      </c>
      <c r="L25" s="69"/>
      <c r="M25" s="69"/>
      <c r="N25" s="69"/>
      <c r="O25" s="69">
        <f t="shared" si="0"/>
        <v>4636000</v>
      </c>
    </row>
    <row r="26" spans="1:15" ht="15">
      <c r="A26" s="14" t="s">
        <v>19</v>
      </c>
      <c r="C26" s="69">
        <v>4166000</v>
      </c>
      <c r="D26" s="69"/>
      <c r="E26" s="69"/>
      <c r="F26" s="69"/>
      <c r="G26" s="69"/>
      <c r="H26" s="69"/>
      <c r="I26" s="69"/>
      <c r="J26" s="69"/>
      <c r="K26" s="69">
        <v>57900</v>
      </c>
      <c r="L26" s="69"/>
      <c r="M26" s="69"/>
      <c r="N26" s="69"/>
      <c r="O26" s="69">
        <f t="shared" si="0"/>
        <v>4223900</v>
      </c>
    </row>
    <row r="27" spans="1:15" ht="15">
      <c r="A27" s="14" t="s">
        <v>20</v>
      </c>
      <c r="C27" s="69">
        <v>3888000</v>
      </c>
      <c r="D27" s="69"/>
      <c r="E27" s="69"/>
      <c r="F27" s="69"/>
      <c r="G27" s="69"/>
      <c r="H27" s="69"/>
      <c r="I27" s="69"/>
      <c r="J27" s="69"/>
      <c r="K27" s="69">
        <v>39500</v>
      </c>
      <c r="L27" s="69"/>
      <c r="M27" s="69"/>
      <c r="N27" s="69"/>
      <c r="O27" s="69">
        <f t="shared" si="0"/>
        <v>3927500</v>
      </c>
    </row>
    <row r="28" spans="1:15" ht="15">
      <c r="A28" s="14" t="s">
        <v>21</v>
      </c>
      <c r="C28" s="69">
        <v>1772000</v>
      </c>
      <c r="D28" s="69"/>
      <c r="E28" s="69"/>
      <c r="F28" s="69"/>
      <c r="G28" s="69">
        <v>300000</v>
      </c>
      <c r="H28" s="69"/>
      <c r="I28" s="69"/>
      <c r="J28" s="69"/>
      <c r="K28" s="69">
        <v>27000</v>
      </c>
      <c r="L28" s="69"/>
      <c r="M28" s="69"/>
      <c r="N28" s="69"/>
      <c r="O28" s="69">
        <f t="shared" si="0"/>
        <v>2099000</v>
      </c>
    </row>
    <row r="29" spans="1:15" ht="15">
      <c r="A29" s="14" t="s">
        <v>22</v>
      </c>
      <c r="C29" s="69">
        <v>1513000</v>
      </c>
      <c r="D29" s="69"/>
      <c r="E29" s="69"/>
      <c r="F29" s="69"/>
      <c r="G29" s="69"/>
      <c r="H29" s="69"/>
      <c r="I29" s="69"/>
      <c r="J29" s="69"/>
      <c r="K29" s="69">
        <v>27400</v>
      </c>
      <c r="L29" s="69"/>
      <c r="M29" s="69"/>
      <c r="N29" s="69"/>
      <c r="O29" s="69">
        <f t="shared" si="0"/>
        <v>1540400</v>
      </c>
    </row>
    <row r="30" spans="1:15" ht="15">
      <c r="A30" s="14" t="s">
        <v>23</v>
      </c>
      <c r="C30" s="69">
        <v>1334000</v>
      </c>
      <c r="D30" s="69"/>
      <c r="E30" s="69"/>
      <c r="F30" s="69"/>
      <c r="G30" s="69"/>
      <c r="H30" s="69"/>
      <c r="I30" s="69"/>
      <c r="J30" s="69"/>
      <c r="K30" s="69">
        <v>24600</v>
      </c>
      <c r="L30" s="69"/>
      <c r="M30" s="69"/>
      <c r="N30" s="69"/>
      <c r="O30" s="69">
        <f t="shared" si="0"/>
        <v>1358600</v>
      </c>
    </row>
    <row r="31" spans="3:15" ht="6" customHeight="1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15">
      <c r="A32" s="6" t="s">
        <v>24</v>
      </c>
      <c r="B32" s="6"/>
      <c r="C32" s="70">
        <f>SUM(C8:C31)</f>
        <v>64925000</v>
      </c>
      <c r="D32" s="70"/>
      <c r="E32" s="70"/>
      <c r="F32" s="70"/>
      <c r="G32" s="70">
        <f>SUM(G8:G30)</f>
        <v>1437100</v>
      </c>
      <c r="H32" s="70"/>
      <c r="I32" s="70"/>
      <c r="J32" s="70"/>
      <c r="K32" s="70">
        <f>SUM(K8:K30)</f>
        <v>1000000</v>
      </c>
      <c r="L32" s="70"/>
      <c r="M32" s="70"/>
      <c r="N32" s="70"/>
      <c r="O32" s="71">
        <f>SUM(O8:O30)</f>
        <v>67362100</v>
      </c>
    </row>
    <row r="33" spans="3:15" ht="6" customHeight="1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5">
      <c r="A34" s="14" t="s">
        <v>25</v>
      </c>
      <c r="C34" s="69">
        <v>1338000</v>
      </c>
      <c r="D34" s="69"/>
      <c r="E34" s="69"/>
      <c r="F34" s="69"/>
      <c r="G34" s="69">
        <f>ROUND(1003000+266761+50000+141000+84000+407950+10452+7252+20422,-3)</f>
        <v>1991000</v>
      </c>
      <c r="H34" s="69"/>
      <c r="I34" s="69"/>
      <c r="J34" s="69"/>
      <c r="K34" s="69"/>
      <c r="L34" s="69"/>
      <c r="M34" s="69"/>
      <c r="N34" s="69"/>
      <c r="O34" s="69">
        <f>SUM(C34:K34)</f>
        <v>3329000</v>
      </c>
    </row>
    <row r="35" spans="1:15" ht="15">
      <c r="A35" s="14" t="s">
        <v>65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5">
      <c r="A36" s="14" t="s">
        <v>26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ht="15">
      <c r="A37" s="14" t="s">
        <v>27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5">
      <c r="A38" s="14" t="s">
        <v>28</v>
      </c>
      <c r="C38" s="69"/>
      <c r="D38" s="69"/>
      <c r="E38" s="69"/>
      <c r="F38" s="69"/>
      <c r="G38" s="69">
        <f>-G14-G28-G34-G9-G19</f>
        <v>-3428100</v>
      </c>
      <c r="H38" s="69"/>
      <c r="I38" s="69"/>
      <c r="J38" s="69"/>
      <c r="K38" s="69">
        <v>-1000000</v>
      </c>
      <c r="L38" s="69"/>
      <c r="M38" s="69"/>
      <c r="N38" s="69"/>
      <c r="O38" s="69">
        <f>SUM(C38:K38)</f>
        <v>-4428100</v>
      </c>
    </row>
    <row r="39" spans="1:15" ht="15">
      <c r="A39" s="14" t="s">
        <v>38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3:15" ht="9" customHeight="1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15.75" thickBot="1">
      <c r="A41" s="4" t="s">
        <v>29</v>
      </c>
      <c r="B41" s="4"/>
      <c r="C41" s="72">
        <f>SUM(C32:C38)</f>
        <v>66263000</v>
      </c>
      <c r="D41" s="72"/>
      <c r="E41" s="72"/>
      <c r="F41" s="72"/>
      <c r="G41" s="72">
        <f>SUM(G32:G39)</f>
        <v>0</v>
      </c>
      <c r="H41" s="72"/>
      <c r="I41" s="72"/>
      <c r="J41" s="72"/>
      <c r="K41" s="72">
        <f>SUM(K32:K39)</f>
        <v>0</v>
      </c>
      <c r="L41" s="72"/>
      <c r="M41" s="72"/>
      <c r="N41" s="72"/>
      <c r="O41" s="72">
        <f>SUM(O32:O40)</f>
        <v>66263000</v>
      </c>
    </row>
    <row r="42" ht="9" customHeight="1"/>
    <row r="43" spans="1:15" ht="27.75" customHeight="1">
      <c r="A43" s="73" t="s">
        <v>85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5">
      <c r="A44" s="73" t="s">
        <v>80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</sheetData>
  <sheetProtection/>
  <mergeCells count="6">
    <mergeCell ref="A44:O44"/>
    <mergeCell ref="A43:O43"/>
    <mergeCell ref="B5:D5"/>
    <mergeCell ref="F5:H5"/>
    <mergeCell ref="J5:L5"/>
    <mergeCell ref="N5:P5"/>
  </mergeCells>
  <printOptions horizontalCentered="1"/>
  <pageMargins left="0.7" right="0.7" top="0.25" bottom="0.5" header="0.3" footer="0.3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8"/>
  <sheetViews>
    <sheetView zoomScalePageLayoutView="0" workbookViewId="0" topLeftCell="A1">
      <pane xSplit="1" ySplit="6" topLeftCell="B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E47" sqref="E47"/>
    </sheetView>
  </sheetViews>
  <sheetFormatPr defaultColWidth="8.8515625" defaultRowHeight="15"/>
  <cols>
    <col min="1" max="1" width="34.00390625" style="14" customWidth="1"/>
    <col min="2" max="2" width="11.7109375" style="14" bestFit="1" customWidth="1"/>
    <col min="3" max="3" width="10.7109375" style="14" bestFit="1" customWidth="1"/>
    <col min="4" max="4" width="11.7109375" style="14" bestFit="1" customWidth="1"/>
    <col min="5" max="5" width="2.7109375" style="14" customWidth="1"/>
    <col min="6" max="6" width="12.00390625" style="14" customWidth="1"/>
    <col min="7" max="7" width="2.7109375" style="14" customWidth="1"/>
    <col min="8" max="8" width="13.7109375" style="14" customWidth="1"/>
    <col min="9" max="9" width="2.7109375" style="14" customWidth="1"/>
    <col min="10" max="10" width="13.7109375" style="14" customWidth="1"/>
    <col min="11" max="11" width="2.7109375" style="14" customWidth="1"/>
    <col min="12" max="12" width="13.8515625" style="14" customWidth="1"/>
    <col min="13" max="13" width="2.7109375" style="14" customWidth="1"/>
    <col min="14" max="14" width="17.140625" style="14" customWidth="1"/>
    <col min="15" max="15" width="2.7109375" style="14" customWidth="1"/>
    <col min="16" max="16" width="15.00390625" style="14" customWidth="1"/>
    <col min="17" max="17" width="2.7109375" style="14" customWidth="1"/>
    <col min="18" max="18" width="14.00390625" style="14" customWidth="1"/>
    <col min="19" max="19" width="2.7109375" style="14" customWidth="1"/>
    <col min="20" max="16384" width="8.8515625" style="14" customWidth="1"/>
  </cols>
  <sheetData>
    <row r="1" ht="18.75">
      <c r="A1" s="9" t="s">
        <v>43</v>
      </c>
    </row>
    <row r="2" ht="18.75">
      <c r="A2" s="9" t="s">
        <v>61</v>
      </c>
    </row>
    <row r="3" spans="2:18" ht="15">
      <c r="B3" s="42">
        <v>-1</v>
      </c>
      <c r="C3" s="42">
        <v>-2</v>
      </c>
      <c r="D3" s="42">
        <v>-3</v>
      </c>
      <c r="E3" s="43"/>
      <c r="F3" s="42"/>
      <c r="G3" s="42"/>
      <c r="H3" s="42">
        <v>-4</v>
      </c>
      <c r="I3" s="42"/>
      <c r="J3" s="42">
        <v>-5</v>
      </c>
      <c r="K3" s="42"/>
      <c r="L3" s="42">
        <v>-6</v>
      </c>
      <c r="M3" s="42"/>
      <c r="N3" s="42">
        <v>-7</v>
      </c>
      <c r="O3" s="42"/>
      <c r="P3" s="42">
        <v>-8</v>
      </c>
      <c r="Q3" s="43"/>
      <c r="R3" s="42">
        <v>-9</v>
      </c>
    </row>
    <row r="4" spans="2:16" s="8" customFormat="1" ht="15.75" thickBot="1">
      <c r="B4" s="75" t="s">
        <v>32</v>
      </c>
      <c r="C4" s="75"/>
      <c r="D4" s="75"/>
      <c r="E4" s="19"/>
      <c r="F4" s="5"/>
      <c r="G4" s="33"/>
      <c r="H4" s="76" t="s">
        <v>33</v>
      </c>
      <c r="I4" s="76"/>
      <c r="J4" s="76"/>
      <c r="K4" s="76"/>
      <c r="L4" s="76"/>
      <c r="M4" s="76"/>
      <c r="N4" s="76"/>
      <c r="O4" s="41"/>
      <c r="P4" s="22" t="s">
        <v>36</v>
      </c>
    </row>
    <row r="5" spans="2:18" ht="81.75">
      <c r="B5" s="13" t="s">
        <v>30</v>
      </c>
      <c r="C5" s="13" t="s">
        <v>31</v>
      </c>
      <c r="D5" s="13" t="s">
        <v>62</v>
      </c>
      <c r="E5" s="13"/>
      <c r="F5" s="30" t="s">
        <v>64</v>
      </c>
      <c r="G5" s="13"/>
      <c r="H5" s="1" t="s">
        <v>53</v>
      </c>
      <c r="I5" s="13"/>
      <c r="J5" s="13" t="s">
        <v>54</v>
      </c>
      <c r="K5" s="20"/>
      <c r="L5" s="13" t="s">
        <v>66</v>
      </c>
      <c r="M5" s="13"/>
      <c r="N5" s="13" t="s">
        <v>69</v>
      </c>
      <c r="O5" s="13"/>
      <c r="P5" s="13" t="s">
        <v>71</v>
      </c>
      <c r="Q5" s="20"/>
      <c r="R5" s="15" t="s">
        <v>56</v>
      </c>
    </row>
    <row r="6" spans="2:18" ht="24.75">
      <c r="B6" s="13"/>
      <c r="C6" s="13"/>
      <c r="D6" s="13"/>
      <c r="E6" s="13"/>
      <c r="G6" s="29"/>
      <c r="H6" s="38" t="s">
        <v>57</v>
      </c>
      <c r="I6" s="29"/>
      <c r="J6" s="13"/>
      <c r="K6" s="13"/>
      <c r="L6" s="13"/>
      <c r="M6" s="13"/>
      <c r="N6" s="47"/>
      <c r="O6" s="47"/>
      <c r="R6" s="38" t="s">
        <v>44</v>
      </c>
    </row>
    <row r="7" spans="1:18" ht="15">
      <c r="A7" s="14" t="s">
        <v>1</v>
      </c>
      <c r="B7" s="44">
        <v>235000</v>
      </c>
      <c r="C7" s="44">
        <v>0</v>
      </c>
      <c r="D7" s="44"/>
      <c r="E7" s="44"/>
      <c r="F7" s="45">
        <v>310</v>
      </c>
      <c r="G7" s="45"/>
      <c r="H7" s="64">
        <f>ROUND(5664*F7,-3)</f>
        <v>1756000</v>
      </c>
      <c r="I7" s="44"/>
      <c r="J7" s="44">
        <v>718000</v>
      </c>
      <c r="K7" s="44"/>
      <c r="L7" s="44"/>
      <c r="M7" s="44"/>
      <c r="N7" s="44">
        <v>810000</v>
      </c>
      <c r="O7" s="44"/>
      <c r="P7" s="44">
        <v>78000</v>
      </c>
      <c r="Q7" s="44"/>
      <c r="R7" s="44">
        <f aca="true" t="shared" si="0" ref="R7:R29">B7+C7+D7+H7+J7+P7+N7+L7</f>
        <v>3597000</v>
      </c>
    </row>
    <row r="8" spans="1:18" ht="15">
      <c r="A8" s="14" t="s">
        <v>2</v>
      </c>
      <c r="B8" s="14">
        <v>187000</v>
      </c>
      <c r="C8" s="14">
        <v>793000</v>
      </c>
      <c r="F8" s="45">
        <v>500</v>
      </c>
      <c r="G8" s="45"/>
      <c r="H8" s="46">
        <f>ROUND(5664*F8,-3)</f>
        <v>2832000</v>
      </c>
      <c r="J8" s="14">
        <v>724000</v>
      </c>
      <c r="N8" s="14">
        <v>623000</v>
      </c>
      <c r="P8" s="14">
        <v>-12000</v>
      </c>
      <c r="R8" s="14">
        <f t="shared" si="0"/>
        <v>5147000</v>
      </c>
    </row>
    <row r="9" spans="1:18" ht="15">
      <c r="A9" s="14" t="s">
        <v>3</v>
      </c>
      <c r="B9" s="14">
        <v>490000</v>
      </c>
      <c r="C9" s="14">
        <v>1052000</v>
      </c>
      <c r="F9" s="45">
        <v>437</v>
      </c>
      <c r="G9" s="45"/>
      <c r="H9" s="46">
        <f aca="true" t="shared" si="1" ref="H9:H28">ROUND(5664*F9,-3)</f>
        <v>2475000</v>
      </c>
      <c r="J9" s="14">
        <v>1186000</v>
      </c>
      <c r="N9" s="14">
        <v>772000</v>
      </c>
      <c r="P9" s="14">
        <v>-50000</v>
      </c>
      <c r="R9" s="14">
        <f t="shared" si="0"/>
        <v>5925000</v>
      </c>
    </row>
    <row r="10" spans="1:18" ht="14.25" customHeight="1">
      <c r="A10" s="14" t="s">
        <v>4</v>
      </c>
      <c r="B10" s="14">
        <v>282000</v>
      </c>
      <c r="C10" s="14">
        <v>0</v>
      </c>
      <c r="F10" s="45">
        <v>462</v>
      </c>
      <c r="G10" s="45"/>
      <c r="H10" s="46">
        <f t="shared" si="1"/>
        <v>2617000</v>
      </c>
      <c r="J10" s="14">
        <v>925000</v>
      </c>
      <c r="L10" s="14">
        <v>250000</v>
      </c>
      <c r="M10" s="20">
        <v>1</v>
      </c>
      <c r="N10" s="14">
        <v>971000</v>
      </c>
      <c r="P10" s="14">
        <v>118000</v>
      </c>
      <c r="R10" s="14">
        <f t="shared" si="0"/>
        <v>5163000</v>
      </c>
    </row>
    <row r="11" spans="1:18" ht="15">
      <c r="A11" s="14" t="s">
        <v>5</v>
      </c>
      <c r="B11" s="14">
        <v>376000</v>
      </c>
      <c r="C11" s="14">
        <v>705000</v>
      </c>
      <c r="F11" s="45">
        <v>353</v>
      </c>
      <c r="G11" s="45"/>
      <c r="H11" s="46">
        <f t="shared" si="1"/>
        <v>1999000</v>
      </c>
      <c r="J11" s="14">
        <v>1252000</v>
      </c>
      <c r="N11" s="14">
        <v>697000</v>
      </c>
      <c r="P11" s="14">
        <v>-21000</v>
      </c>
      <c r="R11" s="14">
        <f t="shared" si="0"/>
        <v>5008000</v>
      </c>
    </row>
    <row r="12" spans="1:18" ht="15">
      <c r="A12" s="14" t="s">
        <v>6</v>
      </c>
      <c r="B12" s="14">
        <v>566000</v>
      </c>
      <c r="C12" s="14">
        <v>13000</v>
      </c>
      <c r="F12" s="45">
        <v>651</v>
      </c>
      <c r="G12" s="45"/>
      <c r="H12" s="46">
        <f t="shared" si="1"/>
        <v>3687000</v>
      </c>
      <c r="J12" s="14">
        <v>1454000</v>
      </c>
      <c r="N12" s="14">
        <v>1209000</v>
      </c>
      <c r="P12" s="14">
        <v>86000</v>
      </c>
      <c r="R12" s="14">
        <f t="shared" si="0"/>
        <v>7015000</v>
      </c>
    </row>
    <row r="13" spans="1:18" ht="15">
      <c r="A13" s="14" t="s">
        <v>7</v>
      </c>
      <c r="B13" s="14">
        <v>814000</v>
      </c>
      <c r="C13" s="14">
        <v>743000</v>
      </c>
      <c r="F13" s="45">
        <v>579</v>
      </c>
      <c r="G13" s="45"/>
      <c r="H13" s="46">
        <f>ROUND(5664*F13,-3)+1000</f>
        <v>3280000</v>
      </c>
      <c r="J13" s="14">
        <v>2133000</v>
      </c>
      <c r="N13" s="14">
        <v>1021000</v>
      </c>
      <c r="P13" s="14">
        <v>-40000</v>
      </c>
      <c r="R13" s="14">
        <f t="shared" si="0"/>
        <v>7951000</v>
      </c>
    </row>
    <row r="14" spans="1:18" ht="15">
      <c r="A14" s="14" t="s">
        <v>8</v>
      </c>
      <c r="B14" s="14">
        <v>312000</v>
      </c>
      <c r="C14" s="14">
        <v>49000</v>
      </c>
      <c r="F14" s="45">
        <v>232</v>
      </c>
      <c r="G14" s="45"/>
      <c r="H14" s="46">
        <f t="shared" si="1"/>
        <v>1314000</v>
      </c>
      <c r="J14" s="14">
        <v>904000</v>
      </c>
      <c r="N14" s="14">
        <v>675000</v>
      </c>
      <c r="P14" s="14">
        <v>17000</v>
      </c>
      <c r="R14" s="14">
        <f t="shared" si="0"/>
        <v>3271000</v>
      </c>
    </row>
    <row r="15" spans="1:18" ht="15">
      <c r="A15" s="14" t="s">
        <v>9</v>
      </c>
      <c r="B15" s="14">
        <v>798000</v>
      </c>
      <c r="C15" s="14">
        <v>0</v>
      </c>
      <c r="F15" s="45">
        <v>579</v>
      </c>
      <c r="G15" s="45"/>
      <c r="H15" s="46">
        <f>ROUND(5664*F15,-3)+1000</f>
        <v>3280000</v>
      </c>
      <c r="J15" s="14">
        <v>2387000</v>
      </c>
      <c r="N15" s="14">
        <v>1021000</v>
      </c>
      <c r="P15" s="14">
        <v>15000</v>
      </c>
      <c r="R15" s="14">
        <f t="shared" si="0"/>
        <v>7501000</v>
      </c>
    </row>
    <row r="16" spans="1:18" ht="15">
      <c r="A16" s="14" t="s">
        <v>10</v>
      </c>
      <c r="B16" s="14">
        <v>468000</v>
      </c>
      <c r="C16" s="14">
        <v>0</v>
      </c>
      <c r="F16" s="45">
        <v>650</v>
      </c>
      <c r="G16" s="45"/>
      <c r="H16" s="46">
        <f t="shared" si="1"/>
        <v>3682000</v>
      </c>
      <c r="J16" s="14">
        <v>1415000</v>
      </c>
      <c r="N16" s="14">
        <v>1216000</v>
      </c>
      <c r="P16" s="14">
        <v>197000</v>
      </c>
      <c r="R16" s="14">
        <f t="shared" si="0"/>
        <v>6978000</v>
      </c>
    </row>
    <row r="17" spans="1:18" ht="15">
      <c r="A17" s="14" t="s">
        <v>11</v>
      </c>
      <c r="B17" s="14">
        <v>67000</v>
      </c>
      <c r="C17" s="14">
        <v>0</v>
      </c>
      <c r="F17" s="45">
        <v>90</v>
      </c>
      <c r="G17" s="45"/>
      <c r="H17" s="46">
        <f t="shared" si="1"/>
        <v>510000</v>
      </c>
      <c r="J17" s="14">
        <v>269000</v>
      </c>
      <c r="N17" s="14">
        <v>516000</v>
      </c>
      <c r="P17" s="14">
        <v>-29000</v>
      </c>
      <c r="R17" s="14">
        <f t="shared" si="0"/>
        <v>1333000</v>
      </c>
    </row>
    <row r="18" spans="1:18" ht="15">
      <c r="A18" s="14" t="s">
        <v>12</v>
      </c>
      <c r="B18" s="14">
        <v>210000</v>
      </c>
      <c r="C18" s="14">
        <v>603000</v>
      </c>
      <c r="F18" s="45">
        <v>502</v>
      </c>
      <c r="G18" s="45"/>
      <c r="H18" s="46">
        <f t="shared" si="1"/>
        <v>2843000</v>
      </c>
      <c r="J18" s="14">
        <v>696000</v>
      </c>
      <c r="N18" s="14">
        <v>623000</v>
      </c>
      <c r="P18" s="14">
        <v>15000</v>
      </c>
      <c r="R18" s="14">
        <f t="shared" si="0"/>
        <v>4990000</v>
      </c>
    </row>
    <row r="19" spans="1:18" ht="15">
      <c r="A19" s="14" t="s">
        <v>13</v>
      </c>
      <c r="B19" s="14">
        <v>832000</v>
      </c>
      <c r="C19" s="14">
        <v>0</v>
      </c>
      <c r="F19" s="45">
        <v>544</v>
      </c>
      <c r="G19" s="45"/>
      <c r="H19" s="46">
        <f t="shared" si="1"/>
        <v>3081000</v>
      </c>
      <c r="J19" s="14">
        <v>2444000</v>
      </c>
      <c r="N19" s="14">
        <v>975000</v>
      </c>
      <c r="P19" s="14">
        <v>31000</v>
      </c>
      <c r="R19" s="14">
        <f t="shared" si="0"/>
        <v>7363000</v>
      </c>
    </row>
    <row r="20" spans="1:18" ht="15">
      <c r="A20" s="14" t="s">
        <v>14</v>
      </c>
      <c r="B20" s="14">
        <v>549000</v>
      </c>
      <c r="C20" s="14">
        <v>0</v>
      </c>
      <c r="F20" s="45">
        <v>538</v>
      </c>
      <c r="G20" s="45"/>
      <c r="H20" s="46">
        <f t="shared" si="1"/>
        <v>3047000</v>
      </c>
      <c r="J20" s="14">
        <v>1549000</v>
      </c>
      <c r="N20" s="14">
        <v>858000</v>
      </c>
      <c r="P20" s="14">
        <v>-6000</v>
      </c>
      <c r="R20" s="14">
        <f t="shared" si="0"/>
        <v>5997000</v>
      </c>
    </row>
    <row r="21" spans="1:18" ht="14.25" customHeight="1">
      <c r="A21" s="14" t="s">
        <v>15</v>
      </c>
      <c r="B21" s="14">
        <v>622000</v>
      </c>
      <c r="C21" s="14">
        <v>0</v>
      </c>
      <c r="F21" s="45">
        <v>460</v>
      </c>
      <c r="G21" s="45"/>
      <c r="H21" s="46">
        <f t="shared" si="1"/>
        <v>2605000</v>
      </c>
      <c r="J21" s="14">
        <v>1629000</v>
      </c>
      <c r="L21" s="14">
        <f>500000</f>
        <v>500000</v>
      </c>
      <c r="M21" s="20">
        <v>2</v>
      </c>
      <c r="N21" s="14">
        <v>968000</v>
      </c>
      <c r="P21" s="14">
        <v>69000</v>
      </c>
      <c r="R21" s="14">
        <f t="shared" si="0"/>
        <v>6393000</v>
      </c>
    </row>
    <row r="22" spans="1:18" ht="15">
      <c r="A22" s="14" t="s">
        <v>16</v>
      </c>
      <c r="B22" s="14">
        <v>441000</v>
      </c>
      <c r="C22" s="14">
        <v>10000</v>
      </c>
      <c r="F22" s="45">
        <v>438</v>
      </c>
      <c r="G22" s="45"/>
      <c r="H22" s="46">
        <f t="shared" si="1"/>
        <v>2481000</v>
      </c>
      <c r="J22" s="14">
        <v>1342000</v>
      </c>
      <c r="N22" s="14">
        <v>1069000</v>
      </c>
      <c r="P22" s="14">
        <v>78000</v>
      </c>
      <c r="R22" s="14">
        <f t="shared" si="0"/>
        <v>5421000</v>
      </c>
    </row>
    <row r="23" spans="1:18" ht="15">
      <c r="A23" s="14" t="s">
        <v>17</v>
      </c>
      <c r="B23" s="14">
        <v>800000</v>
      </c>
      <c r="C23" s="14">
        <v>42000</v>
      </c>
      <c r="F23" s="45">
        <v>548</v>
      </c>
      <c r="G23" s="45"/>
      <c r="H23" s="46">
        <f t="shared" si="1"/>
        <v>3104000</v>
      </c>
      <c r="J23" s="14">
        <v>2306000</v>
      </c>
      <c r="N23" s="14">
        <v>982000</v>
      </c>
      <c r="P23" s="14">
        <v>-155000</v>
      </c>
      <c r="R23" s="14">
        <f t="shared" si="0"/>
        <v>7079000</v>
      </c>
    </row>
    <row r="24" spans="1:18" ht="15">
      <c r="A24" s="14" t="s">
        <v>18</v>
      </c>
      <c r="B24" s="14">
        <v>732000</v>
      </c>
      <c r="C24" s="14">
        <v>0</v>
      </c>
      <c r="F24" s="45">
        <v>485</v>
      </c>
      <c r="G24" s="45"/>
      <c r="H24" s="46">
        <f t="shared" si="1"/>
        <v>2747000</v>
      </c>
      <c r="J24" s="14">
        <v>2085000</v>
      </c>
      <c r="N24" s="14">
        <v>1002000</v>
      </c>
      <c r="P24" s="14">
        <v>-25000</v>
      </c>
      <c r="R24" s="14">
        <f t="shared" si="0"/>
        <v>6541000</v>
      </c>
    </row>
    <row r="25" spans="1:18" ht="15">
      <c r="A25" s="14" t="s">
        <v>19</v>
      </c>
      <c r="B25" s="14">
        <v>699000</v>
      </c>
      <c r="C25" s="14">
        <v>545000</v>
      </c>
      <c r="F25" s="45">
        <v>453</v>
      </c>
      <c r="G25" s="45"/>
      <c r="H25" s="46">
        <f t="shared" si="1"/>
        <v>2566000</v>
      </c>
      <c r="J25" s="14">
        <v>1867000</v>
      </c>
      <c r="N25" s="14">
        <v>959000</v>
      </c>
      <c r="P25" s="14">
        <v>-69000</v>
      </c>
      <c r="R25" s="14">
        <f t="shared" si="0"/>
        <v>6567000</v>
      </c>
    </row>
    <row r="26" spans="1:18" ht="15">
      <c r="A26" s="14" t="s">
        <v>20</v>
      </c>
      <c r="B26" s="14">
        <v>621000</v>
      </c>
      <c r="C26" s="14">
        <v>0</v>
      </c>
      <c r="F26" s="45">
        <v>344</v>
      </c>
      <c r="G26" s="45"/>
      <c r="H26" s="46">
        <f t="shared" si="1"/>
        <v>1948000</v>
      </c>
      <c r="J26" s="14">
        <v>1807000</v>
      </c>
      <c r="N26" s="14">
        <v>820000</v>
      </c>
      <c r="P26" s="14">
        <v>-192000</v>
      </c>
      <c r="R26" s="14">
        <f t="shared" si="0"/>
        <v>5004000</v>
      </c>
    </row>
    <row r="27" spans="1:18" ht="15">
      <c r="A27" s="14" t="s">
        <v>21</v>
      </c>
      <c r="B27" s="14">
        <v>290000</v>
      </c>
      <c r="C27" s="14">
        <v>213000</v>
      </c>
      <c r="F27" s="45">
        <v>580</v>
      </c>
      <c r="G27" s="45"/>
      <c r="H27" s="46">
        <f t="shared" si="1"/>
        <v>3285000</v>
      </c>
      <c r="J27" s="14">
        <v>859000</v>
      </c>
      <c r="N27" s="14">
        <v>714000</v>
      </c>
      <c r="P27" s="14">
        <v>-19000</v>
      </c>
      <c r="R27" s="14">
        <f t="shared" si="0"/>
        <v>5342000</v>
      </c>
    </row>
    <row r="28" spans="1:18" ht="15">
      <c r="A28" s="14" t="s">
        <v>22</v>
      </c>
      <c r="B28" s="14">
        <v>259000</v>
      </c>
      <c r="C28" s="14">
        <v>269000</v>
      </c>
      <c r="F28" s="45">
        <v>250</v>
      </c>
      <c r="G28" s="45"/>
      <c r="H28" s="46">
        <f t="shared" si="1"/>
        <v>1416000</v>
      </c>
      <c r="J28" s="14">
        <v>724000</v>
      </c>
      <c r="N28" s="14">
        <v>690000</v>
      </c>
      <c r="P28" s="14">
        <v>-73000</v>
      </c>
      <c r="R28" s="14">
        <f t="shared" si="0"/>
        <v>3285000</v>
      </c>
    </row>
    <row r="29" spans="1:18" ht="15">
      <c r="A29" s="14" t="s">
        <v>23</v>
      </c>
      <c r="B29" s="14">
        <v>237000</v>
      </c>
      <c r="C29" s="14">
        <v>0</v>
      </c>
      <c r="F29" s="45">
        <v>329</v>
      </c>
      <c r="G29" s="45"/>
      <c r="H29" s="46">
        <f>ROUND(5664*F29,-3)+1000</f>
        <v>1864000</v>
      </c>
      <c r="J29" s="14">
        <v>608000</v>
      </c>
      <c r="N29" s="14">
        <v>809000</v>
      </c>
      <c r="P29" s="14">
        <v>81000</v>
      </c>
      <c r="R29" s="14">
        <f t="shared" si="0"/>
        <v>3599000</v>
      </c>
    </row>
    <row r="30" spans="6:8" ht="6" customHeight="1">
      <c r="F30" s="45"/>
      <c r="G30" s="45"/>
      <c r="H30" s="46"/>
    </row>
    <row r="31" spans="1:18" ht="15">
      <c r="A31" s="6" t="s">
        <v>24</v>
      </c>
      <c r="B31" s="11">
        <f aca="true" t="shared" si="2" ref="B31:P31">SUM(B7:B29)</f>
        <v>10887000</v>
      </c>
      <c r="C31" s="11">
        <f t="shared" si="2"/>
        <v>5037000</v>
      </c>
      <c r="D31" s="11">
        <f t="shared" si="2"/>
        <v>0</v>
      </c>
      <c r="E31" s="11"/>
      <c r="F31" s="21">
        <f>SUM(F7:F30)</f>
        <v>10314</v>
      </c>
      <c r="G31" s="21"/>
      <c r="H31" s="39">
        <f t="shared" si="2"/>
        <v>58419000</v>
      </c>
      <c r="I31" s="11"/>
      <c r="J31" s="11">
        <f t="shared" si="2"/>
        <v>31283000</v>
      </c>
      <c r="K31" s="11"/>
      <c r="L31" s="11">
        <f t="shared" si="2"/>
        <v>750000</v>
      </c>
      <c r="M31" s="11"/>
      <c r="N31" s="11">
        <f t="shared" si="2"/>
        <v>20000000</v>
      </c>
      <c r="O31" s="11"/>
      <c r="P31" s="11">
        <f t="shared" si="2"/>
        <v>94000</v>
      </c>
      <c r="Q31" s="11"/>
      <c r="R31" s="11">
        <f>SUM(R7:R29)</f>
        <v>126470000</v>
      </c>
    </row>
    <row r="32" ht="6" customHeight="1">
      <c r="H32" s="46"/>
    </row>
    <row r="33" spans="1:18" ht="15">
      <c r="A33" s="14" t="s">
        <v>25</v>
      </c>
      <c r="B33" s="14">
        <v>153000</v>
      </c>
      <c r="H33" s="46"/>
      <c r="J33" s="14">
        <v>1237000</v>
      </c>
      <c r="R33" s="14">
        <f>B33+C33+D33+H33+J33+P33+N33</f>
        <v>1390000</v>
      </c>
    </row>
    <row r="34" spans="1:18" ht="15">
      <c r="A34" s="14" t="s">
        <v>65</v>
      </c>
      <c r="F34" s="42">
        <v>53</v>
      </c>
      <c r="G34" s="42"/>
      <c r="H34" s="46">
        <f>ROUND(5664*F34,-3)</f>
        <v>300000</v>
      </c>
      <c r="P34" s="7">
        <v>-58000</v>
      </c>
      <c r="R34" s="14">
        <f>B34+C34+D34+H34+J34+P34+N34</f>
        <v>242000</v>
      </c>
    </row>
    <row r="35" spans="1:18" ht="15">
      <c r="A35" s="14" t="s">
        <v>26</v>
      </c>
      <c r="F35" s="42">
        <v>28</v>
      </c>
      <c r="H35" s="46">
        <f>ROUND(5664*F35,-3)</f>
        <v>159000</v>
      </c>
      <c r="P35" s="14">
        <v>-31000</v>
      </c>
      <c r="R35" s="14">
        <f>B35+C35+D35+H35+J35+P35+N35</f>
        <v>128000</v>
      </c>
    </row>
    <row r="36" spans="1:18" ht="15">
      <c r="A36" s="14" t="s">
        <v>27</v>
      </c>
      <c r="F36" s="42">
        <v>5</v>
      </c>
      <c r="H36" s="46">
        <f>ROUND(5664*F36,-3)</f>
        <v>28000</v>
      </c>
      <c r="P36" s="14">
        <v>-5000</v>
      </c>
      <c r="R36" s="14">
        <f>B36+C36+D36+H36+J36+P36+N36</f>
        <v>23000</v>
      </c>
    </row>
    <row r="37" spans="1:18" ht="14.25" customHeight="1">
      <c r="A37" s="14" t="s">
        <v>28</v>
      </c>
      <c r="D37" s="14">
        <v>7000000</v>
      </c>
      <c r="F37" s="42"/>
      <c r="H37" s="46"/>
      <c r="I37" s="46"/>
      <c r="J37" s="14">
        <v>33008000</v>
      </c>
      <c r="K37" s="20"/>
      <c r="L37" s="14">
        <f>14000000+25000000+10406000-250000</f>
        <v>49156000</v>
      </c>
      <c r="M37" s="20">
        <v>3</v>
      </c>
      <c r="P37" s="20"/>
      <c r="Q37" s="20"/>
      <c r="R37" s="14">
        <f>B37+C37+D37+H37+J37+P37+N37+L37</f>
        <v>89164000</v>
      </c>
    </row>
    <row r="38" spans="1:18" ht="15">
      <c r="A38" s="14" t="s">
        <v>39</v>
      </c>
      <c r="D38" s="14">
        <v>7628000</v>
      </c>
      <c r="H38" s="46"/>
      <c r="I38" s="46"/>
      <c r="R38" s="14">
        <f>B38+C38+D38+H38+J38+P38+N38</f>
        <v>7628000</v>
      </c>
    </row>
    <row r="39" ht="9" customHeight="1">
      <c r="H39" s="46"/>
    </row>
    <row r="40" spans="1:18" ht="15.75" thickBot="1">
      <c r="A40" s="4" t="s">
        <v>29</v>
      </c>
      <c r="B40" s="10">
        <f>SUM(B31:B39)</f>
        <v>11040000</v>
      </c>
      <c r="C40" s="10">
        <f>SUM(C31:C39)</f>
        <v>5037000</v>
      </c>
      <c r="D40" s="10">
        <f>SUM(D31:D39)</f>
        <v>14628000</v>
      </c>
      <c r="E40" s="10"/>
      <c r="F40" s="25">
        <f>SUM(F31:F38)</f>
        <v>10400</v>
      </c>
      <c r="G40" s="25"/>
      <c r="H40" s="40">
        <f>SUM(H31:H39)</f>
        <v>58906000</v>
      </c>
      <c r="I40" s="10"/>
      <c r="J40" s="10">
        <f>SUM(J31:J39)</f>
        <v>65528000</v>
      </c>
      <c r="K40" s="10"/>
      <c r="L40" s="10">
        <f>SUM(L31:L39)</f>
        <v>49906000</v>
      </c>
      <c r="M40" s="10"/>
      <c r="N40" s="10">
        <f>SUM(N31:N39)</f>
        <v>20000000</v>
      </c>
      <c r="O40" s="10"/>
      <c r="P40" s="10">
        <f>SUM(P31:P39)</f>
        <v>0</v>
      </c>
      <c r="Q40" s="10"/>
      <c r="R40" s="10">
        <f>SUM(R31:R39)</f>
        <v>225045000</v>
      </c>
    </row>
    <row r="41" spans="1:18" ht="9" customHeight="1">
      <c r="A41" s="24"/>
      <c r="B41" s="34"/>
      <c r="C41" s="34"/>
      <c r="D41" s="34"/>
      <c r="E41" s="34"/>
      <c r="F41" s="35"/>
      <c r="G41" s="35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7.25">
      <c r="A42" s="14" t="s">
        <v>87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55"/>
    </row>
    <row r="43" spans="1:18" ht="17.25">
      <c r="A43" s="14" t="s">
        <v>88</v>
      </c>
      <c r="H43" s="43"/>
      <c r="I43" s="43"/>
      <c r="J43" s="43"/>
      <c r="K43" s="43"/>
      <c r="L43" s="43"/>
      <c r="M43" s="43"/>
      <c r="N43" s="56"/>
      <c r="O43" s="56"/>
      <c r="P43" s="43"/>
      <c r="Q43" s="43"/>
      <c r="R43" s="55"/>
    </row>
    <row r="44" spans="1:18" ht="17.25">
      <c r="A44" s="14" t="s">
        <v>81</v>
      </c>
      <c r="R44" s="2"/>
    </row>
    <row r="45" ht="15">
      <c r="R45" s="2"/>
    </row>
    <row r="46" ht="15">
      <c r="R46" s="2"/>
    </row>
    <row r="47" ht="15">
      <c r="R47" s="2"/>
    </row>
    <row r="48" ht="15">
      <c r="R48" s="2"/>
    </row>
  </sheetData>
  <sheetProtection/>
  <mergeCells count="2">
    <mergeCell ref="B4:D4"/>
    <mergeCell ref="H4:N4"/>
  </mergeCells>
  <printOptions horizontalCentered="1"/>
  <pageMargins left="0.2" right="0.2" top="0.25" bottom="0.5" header="0.3" footer="0.3"/>
  <pageSetup fitToHeight="1" fitToWidth="1" horizontalDpi="600" verticalDpi="600" orientation="landscape" paperSize="5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8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36" sqref="A36"/>
    </sheetView>
  </sheetViews>
  <sheetFormatPr defaultColWidth="8.8515625" defaultRowHeight="15"/>
  <cols>
    <col min="1" max="1" width="25.28125" style="48" customWidth="1"/>
    <col min="2" max="2" width="12.28125" style="48" bestFit="1" customWidth="1"/>
    <col min="3" max="3" width="12.140625" style="48" customWidth="1"/>
    <col min="4" max="4" width="13.140625" style="48" customWidth="1"/>
    <col min="5" max="5" width="15.00390625" style="48" customWidth="1"/>
    <col min="6" max="6" width="14.7109375" style="48" customWidth="1"/>
    <col min="7" max="7" width="16.57421875" style="48" customWidth="1"/>
    <col min="8" max="8" width="17.7109375" style="48" customWidth="1"/>
    <col min="9" max="9" width="12.7109375" style="48" customWidth="1"/>
    <col min="10" max="10" width="15.28125" style="48" customWidth="1"/>
    <col min="11" max="11" width="14.57421875" style="48" customWidth="1"/>
    <col min="12" max="12" width="1.28515625" style="48" customWidth="1"/>
    <col min="13" max="13" width="13.7109375" style="48" customWidth="1"/>
    <col min="14" max="14" width="10.421875" style="48" bestFit="1" customWidth="1"/>
    <col min="15" max="16384" width="8.8515625" style="48" customWidth="1"/>
  </cols>
  <sheetData>
    <row r="1" spans="1:2" ht="18.75">
      <c r="A1" s="9" t="s">
        <v>84</v>
      </c>
      <c r="B1" s="9"/>
    </row>
    <row r="2" spans="1:2" ht="18.75">
      <c r="A2" s="9" t="s">
        <v>61</v>
      </c>
      <c r="B2" s="9"/>
    </row>
    <row r="3" spans="1:2" ht="18.75">
      <c r="A3" s="59" t="s">
        <v>40</v>
      </c>
      <c r="B3" s="9"/>
    </row>
    <row r="4" spans="3:11" ht="27" customHeight="1">
      <c r="C4" s="14"/>
      <c r="D4" s="14"/>
      <c r="E4" s="42">
        <v>-1</v>
      </c>
      <c r="F4" s="42">
        <v>-2</v>
      </c>
      <c r="G4" s="42">
        <v>-3</v>
      </c>
      <c r="H4" s="42">
        <v>-4</v>
      </c>
      <c r="I4" s="42">
        <v>-5</v>
      </c>
      <c r="J4" s="42">
        <v>-6</v>
      </c>
      <c r="K4" s="42">
        <v>-7</v>
      </c>
    </row>
    <row r="5" spans="3:11" ht="15.75" thickBot="1">
      <c r="C5" s="14"/>
      <c r="D5" s="14"/>
      <c r="E5" s="49"/>
      <c r="F5" s="23"/>
      <c r="G5" s="78" t="s">
        <v>74</v>
      </c>
      <c r="H5" s="78"/>
      <c r="I5" s="78"/>
      <c r="J5" s="78"/>
      <c r="K5" s="23"/>
    </row>
    <row r="6" spans="2:13" ht="172.5">
      <c r="B6" s="57" t="s">
        <v>46</v>
      </c>
      <c r="C6" s="30" t="s">
        <v>55</v>
      </c>
      <c r="D6" s="30" t="s">
        <v>47</v>
      </c>
      <c r="E6" s="1" t="s">
        <v>49</v>
      </c>
      <c r="F6" s="1" t="s">
        <v>75</v>
      </c>
      <c r="G6" s="16" t="s">
        <v>83</v>
      </c>
      <c r="H6" s="1" t="s">
        <v>76</v>
      </c>
      <c r="I6" s="1" t="s">
        <v>72</v>
      </c>
      <c r="J6" s="16" t="s">
        <v>73</v>
      </c>
      <c r="K6" s="17" t="s">
        <v>77</v>
      </c>
      <c r="M6" s="31" t="s">
        <v>78</v>
      </c>
    </row>
    <row r="7" spans="3:13" ht="24">
      <c r="C7" s="36"/>
      <c r="D7" s="36"/>
      <c r="E7" s="37"/>
      <c r="F7" s="1"/>
      <c r="G7" s="1"/>
      <c r="H7" s="1"/>
      <c r="I7" s="1"/>
      <c r="J7" s="38"/>
      <c r="K7" s="38" t="s">
        <v>35</v>
      </c>
      <c r="M7" s="27" t="s">
        <v>37</v>
      </c>
    </row>
    <row r="8" spans="3:13" ht="9" customHeight="1">
      <c r="C8" s="36"/>
      <c r="D8" s="36"/>
      <c r="E8" s="37"/>
      <c r="F8" s="1"/>
      <c r="G8" s="1"/>
      <c r="H8" s="1"/>
      <c r="I8" s="1"/>
      <c r="J8" s="16"/>
      <c r="K8" s="17"/>
      <c r="M8" s="50"/>
    </row>
    <row r="9" spans="1:13" ht="15">
      <c r="A9" s="44" t="s">
        <v>1</v>
      </c>
      <c r="B9" s="14">
        <v>7216</v>
      </c>
      <c r="C9" s="62">
        <v>310</v>
      </c>
      <c r="D9" s="14">
        <v>139.4</v>
      </c>
      <c r="E9" s="44">
        <f>ROUND(46651262,-2)</f>
        <v>46651300</v>
      </c>
      <c r="F9" s="44">
        <v>-16588400</v>
      </c>
      <c r="G9" s="44">
        <v>-962000</v>
      </c>
      <c r="H9" s="44">
        <v>-48000</v>
      </c>
      <c r="I9" s="44">
        <v>1857000</v>
      </c>
      <c r="J9" s="44">
        <v>-417000</v>
      </c>
      <c r="K9" s="44">
        <f>SUM(E9:J9)</f>
        <v>30492900</v>
      </c>
      <c r="M9" s="51">
        <f>F9+J9</f>
        <v>-17005400</v>
      </c>
    </row>
    <row r="10" spans="1:13" ht="15">
      <c r="A10" s="14" t="s">
        <v>2</v>
      </c>
      <c r="B10" s="14">
        <v>5000</v>
      </c>
      <c r="C10" s="62">
        <v>500</v>
      </c>
      <c r="D10" s="14">
        <v>21.1</v>
      </c>
      <c r="E10" s="14">
        <f>ROUND(32094427,-2)</f>
        <v>32094400</v>
      </c>
      <c r="F10" s="14">
        <v>-8627000</v>
      </c>
      <c r="G10" s="14">
        <v>110000</v>
      </c>
      <c r="H10" s="14">
        <v>-18000</v>
      </c>
      <c r="I10" s="14">
        <v>3044000</v>
      </c>
      <c r="J10" s="14">
        <v>-535000</v>
      </c>
      <c r="K10" s="14">
        <f>SUM(E10:J10)</f>
        <v>26068400</v>
      </c>
      <c r="M10" s="51">
        <f aca="true" t="shared" si="0" ref="M10:M30">F10+J10</f>
        <v>-9162000</v>
      </c>
    </row>
    <row r="11" spans="1:13" ht="15">
      <c r="A11" s="14" t="s">
        <v>3</v>
      </c>
      <c r="B11" s="14">
        <v>14563</v>
      </c>
      <c r="C11" s="62">
        <v>437</v>
      </c>
      <c r="D11" s="14">
        <v>689.4</v>
      </c>
      <c r="E11" s="14">
        <v>96700000</v>
      </c>
      <c r="F11" s="14">
        <v>-21904000</v>
      </c>
      <c r="G11" s="14">
        <v>-652000</v>
      </c>
      <c r="H11" s="14">
        <v>560000</v>
      </c>
      <c r="I11" s="14">
        <v>2526000</v>
      </c>
      <c r="J11" s="14">
        <v>-428000</v>
      </c>
      <c r="K11" s="14">
        <f aca="true" t="shared" si="1" ref="K11:K31">SUM(E11:J11)</f>
        <v>76802000</v>
      </c>
      <c r="M11" s="51">
        <f t="shared" si="0"/>
        <v>-22332000</v>
      </c>
    </row>
    <row r="12" spans="1:13" ht="15">
      <c r="A12" s="14" t="s">
        <v>4</v>
      </c>
      <c r="B12" s="14">
        <v>9928</v>
      </c>
      <c r="C12" s="62">
        <v>462</v>
      </c>
      <c r="D12" s="14">
        <v>78</v>
      </c>
      <c r="E12" s="14">
        <f>ROUND(69131239,-2)</f>
        <v>69131200</v>
      </c>
      <c r="F12" s="14">
        <v>-28217500</v>
      </c>
      <c r="G12" s="14">
        <v>-1176000</v>
      </c>
      <c r="H12" s="14">
        <v>27000</v>
      </c>
      <c r="I12" s="14">
        <v>3155000</v>
      </c>
      <c r="J12" s="14">
        <v>-623000</v>
      </c>
      <c r="K12" s="14">
        <f t="shared" si="1"/>
        <v>42296700</v>
      </c>
      <c r="M12" s="51">
        <f t="shared" si="0"/>
        <v>-28840500</v>
      </c>
    </row>
    <row r="13" spans="1:13" ht="15">
      <c r="A13" s="14" t="s">
        <v>5</v>
      </c>
      <c r="B13" s="14">
        <v>11761</v>
      </c>
      <c r="C13" s="62">
        <v>353</v>
      </c>
      <c r="D13" s="14">
        <v>1203.9</v>
      </c>
      <c r="E13" s="14">
        <f>ROUND(99907597,-2)</f>
        <v>99907600</v>
      </c>
      <c r="F13" s="14">
        <v>-22145800</v>
      </c>
      <c r="G13" s="14">
        <v>-990000</v>
      </c>
      <c r="H13" s="14">
        <v>1303000</v>
      </c>
      <c r="I13" s="14">
        <v>2230000</v>
      </c>
      <c r="J13" s="14">
        <v>-365000</v>
      </c>
      <c r="K13" s="14">
        <f t="shared" si="1"/>
        <v>79939800</v>
      </c>
      <c r="M13" s="51">
        <f t="shared" si="0"/>
        <v>-22510800</v>
      </c>
    </row>
    <row r="14" spans="1:13" ht="15">
      <c r="A14" s="14" t="s">
        <v>6</v>
      </c>
      <c r="B14" s="14">
        <v>18178</v>
      </c>
      <c r="C14" s="62">
        <v>651</v>
      </c>
      <c r="D14" s="14">
        <v>571.6</v>
      </c>
      <c r="E14" s="14">
        <f>ROUND(121747505,-2)</f>
        <v>121747500</v>
      </c>
      <c r="F14" s="14">
        <v>-36995200</v>
      </c>
      <c r="G14" s="14">
        <v>709000</v>
      </c>
      <c r="H14" s="14">
        <v>926000</v>
      </c>
      <c r="I14" s="14">
        <v>4048000</v>
      </c>
      <c r="J14" s="14">
        <v>-798000</v>
      </c>
      <c r="K14" s="14">
        <f t="shared" si="1"/>
        <v>89637300</v>
      </c>
      <c r="M14" s="51">
        <f t="shared" si="0"/>
        <v>-37793200</v>
      </c>
    </row>
    <row r="15" spans="1:13" ht="15">
      <c r="A15" s="14" t="s">
        <v>7</v>
      </c>
      <c r="B15" s="14">
        <v>27873</v>
      </c>
      <c r="C15" s="62">
        <v>579</v>
      </c>
      <c r="D15" s="14">
        <v>1177.6</v>
      </c>
      <c r="E15" s="14">
        <f>ROUND(208371775,-2)</f>
        <v>208371800</v>
      </c>
      <c r="F15" s="14">
        <v>-49641600</v>
      </c>
      <c r="G15" s="14">
        <v>475000</v>
      </c>
      <c r="H15" s="14">
        <v>1598000</v>
      </c>
      <c r="I15" s="14">
        <v>3776000</v>
      </c>
      <c r="J15" s="14">
        <v>-593000</v>
      </c>
      <c r="K15" s="14">
        <f t="shared" si="1"/>
        <v>163986200</v>
      </c>
      <c r="M15" s="51">
        <f t="shared" si="0"/>
        <v>-50234600</v>
      </c>
    </row>
    <row r="16" spans="1:13" ht="15">
      <c r="A16" s="14" t="s">
        <v>8</v>
      </c>
      <c r="B16" s="14">
        <v>7251</v>
      </c>
      <c r="C16" s="62">
        <v>232</v>
      </c>
      <c r="D16" s="14">
        <v>184.9</v>
      </c>
      <c r="E16" s="14">
        <f>ROUND(53017305,-2)</f>
        <v>53017300</v>
      </c>
      <c r="F16" s="14">
        <v>-13211300</v>
      </c>
      <c r="G16" s="14">
        <v>-38000</v>
      </c>
      <c r="H16" s="14">
        <v>-107000</v>
      </c>
      <c r="I16" s="14">
        <v>1351000</v>
      </c>
      <c r="J16" s="14">
        <v>-271000</v>
      </c>
      <c r="K16" s="14">
        <f t="shared" si="1"/>
        <v>40741000</v>
      </c>
      <c r="M16" s="51">
        <f t="shared" si="0"/>
        <v>-13482300</v>
      </c>
    </row>
    <row r="17" spans="1:13" ht="15">
      <c r="A17" s="14" t="s">
        <v>9</v>
      </c>
      <c r="B17" s="14">
        <v>27848</v>
      </c>
      <c r="C17" s="62">
        <v>579</v>
      </c>
      <c r="D17" s="14">
        <v>1418.2</v>
      </c>
      <c r="E17" s="14">
        <f>ROUND(229667076,-2)</f>
        <v>229667100</v>
      </c>
      <c r="F17" s="14">
        <v>-52044400</v>
      </c>
      <c r="G17" s="14">
        <v>-1632000</v>
      </c>
      <c r="H17" s="14">
        <v>2655000</v>
      </c>
      <c r="I17" s="14">
        <v>3722000</v>
      </c>
      <c r="J17" s="14">
        <v>-648000</v>
      </c>
      <c r="K17" s="14">
        <f t="shared" si="1"/>
        <v>181719700</v>
      </c>
      <c r="M17" s="51">
        <f t="shared" si="0"/>
        <v>-52692400</v>
      </c>
    </row>
    <row r="18" spans="1:13" ht="15">
      <c r="A18" s="14" t="s">
        <v>10</v>
      </c>
      <c r="B18" s="14">
        <v>16931</v>
      </c>
      <c r="C18" s="62">
        <v>650</v>
      </c>
      <c r="D18" s="14">
        <v>604.8</v>
      </c>
      <c r="E18" s="14">
        <f>ROUND(135455142,-2)</f>
        <v>135455100</v>
      </c>
      <c r="F18" s="14">
        <v>-44224300</v>
      </c>
      <c r="G18" s="14">
        <v>-2873000</v>
      </c>
      <c r="H18" s="14">
        <v>644000</v>
      </c>
      <c r="I18" s="14">
        <v>4298000</v>
      </c>
      <c r="J18" s="14">
        <v>-908000</v>
      </c>
      <c r="K18" s="14">
        <f t="shared" si="1"/>
        <v>92391800</v>
      </c>
      <c r="M18" s="51">
        <f t="shared" si="0"/>
        <v>-45132300</v>
      </c>
    </row>
    <row r="19" spans="1:13" ht="15">
      <c r="A19" s="14" t="s">
        <v>11</v>
      </c>
      <c r="B19" s="14">
        <v>1301</v>
      </c>
      <c r="C19" s="62">
        <v>90</v>
      </c>
      <c r="D19" s="14">
        <v>174.3</v>
      </c>
      <c r="E19" s="14">
        <f>ROUND(10656290,-2)</f>
        <v>10656300</v>
      </c>
      <c r="F19" s="14">
        <v>-1881900</v>
      </c>
      <c r="G19" s="14">
        <v>63000</v>
      </c>
      <c r="H19" s="14">
        <v>595000</v>
      </c>
      <c r="I19" s="14">
        <v>397000</v>
      </c>
      <c r="J19" s="14">
        <v>-69000</v>
      </c>
      <c r="K19" s="14">
        <f t="shared" si="1"/>
        <v>9760400</v>
      </c>
      <c r="M19" s="51">
        <f t="shared" si="0"/>
        <v>-1950900</v>
      </c>
    </row>
    <row r="20" spans="1:13" ht="15">
      <c r="A20" s="14" t="s">
        <v>12</v>
      </c>
      <c r="B20" s="14">
        <v>5017</v>
      </c>
      <c r="C20" s="62">
        <v>502</v>
      </c>
      <c r="D20" s="14">
        <v>175.3</v>
      </c>
      <c r="E20" s="14">
        <f>ROUND((30912632-E38)/100,0)*100</f>
        <v>30259600</v>
      </c>
      <c r="F20" s="14">
        <v>-9785500</v>
      </c>
      <c r="G20" s="14">
        <v>-159000</v>
      </c>
      <c r="H20" s="14">
        <v>512000</v>
      </c>
      <c r="I20" s="14">
        <v>2883000</v>
      </c>
      <c r="J20" s="14">
        <v>-564000</v>
      </c>
      <c r="K20" s="14">
        <f t="shared" si="1"/>
        <v>23146100</v>
      </c>
      <c r="M20" s="51">
        <f t="shared" si="0"/>
        <v>-10349500</v>
      </c>
    </row>
    <row r="21" spans="1:13" ht="15">
      <c r="A21" s="14" t="s">
        <v>13</v>
      </c>
      <c r="B21" s="14">
        <v>26143</v>
      </c>
      <c r="C21" s="62">
        <v>544</v>
      </c>
      <c r="D21" s="14">
        <v>1976.9</v>
      </c>
      <c r="E21" s="14">
        <f>ROUND(214976644,-2)</f>
        <v>214976600</v>
      </c>
      <c r="F21" s="14">
        <v>-54406800</v>
      </c>
      <c r="G21" s="14">
        <v>-433000</v>
      </c>
      <c r="H21" s="14">
        <v>1368000</v>
      </c>
      <c r="I21" s="14">
        <v>3552000</v>
      </c>
      <c r="J21" s="14">
        <v>-626000</v>
      </c>
      <c r="K21" s="14">
        <f t="shared" si="1"/>
        <v>164430800</v>
      </c>
      <c r="M21" s="51">
        <f t="shared" si="0"/>
        <v>-55032800</v>
      </c>
    </row>
    <row r="22" spans="1:13" ht="15">
      <c r="A22" s="14" t="s">
        <v>14</v>
      </c>
      <c r="B22" s="14">
        <v>17756</v>
      </c>
      <c r="C22" s="62">
        <v>538</v>
      </c>
      <c r="D22" s="14">
        <v>585.4</v>
      </c>
      <c r="E22" s="14">
        <f>ROUND(139008550,-2)</f>
        <v>139008600</v>
      </c>
      <c r="F22" s="14">
        <v>-30575200</v>
      </c>
      <c r="G22" s="14">
        <v>-570000</v>
      </c>
      <c r="H22" s="14">
        <v>74000</v>
      </c>
      <c r="I22" s="14">
        <v>3344000</v>
      </c>
      <c r="J22" s="14">
        <v>-583000</v>
      </c>
      <c r="K22" s="14">
        <f t="shared" si="1"/>
        <v>110698400</v>
      </c>
      <c r="M22" s="51">
        <f t="shared" si="0"/>
        <v>-31158200</v>
      </c>
    </row>
    <row r="23" spans="1:13" ht="15">
      <c r="A23" s="14" t="s">
        <v>15</v>
      </c>
      <c r="B23" s="14">
        <v>22085</v>
      </c>
      <c r="C23" s="62">
        <v>460</v>
      </c>
      <c r="D23" s="14">
        <v>388.6</v>
      </c>
      <c r="E23" s="14">
        <f>ROUND(156441518,-2)</f>
        <v>156441500</v>
      </c>
      <c r="F23" s="14">
        <v>-42917700</v>
      </c>
      <c r="G23" s="14">
        <v>-1092000</v>
      </c>
      <c r="H23" s="14">
        <v>401000</v>
      </c>
      <c r="I23" s="14">
        <v>2993000</v>
      </c>
      <c r="J23" s="14">
        <v>-572000</v>
      </c>
      <c r="K23" s="14">
        <f t="shared" si="1"/>
        <v>115253800</v>
      </c>
      <c r="M23" s="51">
        <f t="shared" si="0"/>
        <v>-43489700</v>
      </c>
    </row>
    <row r="24" spans="1:13" ht="15">
      <c r="A24" s="14" t="s">
        <v>16</v>
      </c>
      <c r="B24" s="14">
        <v>14616</v>
      </c>
      <c r="C24" s="62">
        <v>438</v>
      </c>
      <c r="D24" s="14">
        <v>916.4</v>
      </c>
      <c r="E24" s="14">
        <f>ROUND(115989101,-2)</f>
        <v>115989100</v>
      </c>
      <c r="F24" s="14">
        <v>-33316900</v>
      </c>
      <c r="G24" s="14">
        <v>-278000</v>
      </c>
      <c r="H24" s="14">
        <v>621000</v>
      </c>
      <c r="I24" s="14">
        <v>2757000</v>
      </c>
      <c r="J24" s="14">
        <v>-557000</v>
      </c>
      <c r="K24" s="14">
        <f t="shared" si="1"/>
        <v>85215200</v>
      </c>
      <c r="M24" s="51">
        <f t="shared" si="0"/>
        <v>-33873900</v>
      </c>
    </row>
    <row r="25" spans="1:13" ht="15">
      <c r="A25" s="14" t="s">
        <v>17</v>
      </c>
      <c r="B25" s="14">
        <v>26400</v>
      </c>
      <c r="C25" s="62">
        <v>548</v>
      </c>
      <c r="D25" s="14">
        <v>2522.1</v>
      </c>
      <c r="E25" s="14">
        <f>ROUND(210999789,-2)</f>
        <v>210999800</v>
      </c>
      <c r="F25" s="14">
        <v>-40506800</v>
      </c>
      <c r="G25" s="14">
        <v>-393000</v>
      </c>
      <c r="H25" s="14">
        <v>2885000</v>
      </c>
      <c r="I25" s="14">
        <v>3421000</v>
      </c>
      <c r="J25" s="14">
        <v>-445000</v>
      </c>
      <c r="K25" s="14">
        <f t="shared" si="1"/>
        <v>175961000</v>
      </c>
      <c r="M25" s="51">
        <f t="shared" si="0"/>
        <v>-40951800</v>
      </c>
    </row>
    <row r="26" spans="1:13" ht="15">
      <c r="A26" s="14" t="s">
        <v>18</v>
      </c>
      <c r="B26" s="14">
        <v>23351</v>
      </c>
      <c r="C26" s="62">
        <v>485</v>
      </c>
      <c r="D26" s="14">
        <v>1601.2</v>
      </c>
      <c r="E26" s="14">
        <f>ROUND(182518693,-2)</f>
        <v>182518700</v>
      </c>
      <c r="F26" s="14">
        <v>-44375200</v>
      </c>
      <c r="G26" s="14">
        <v>863000</v>
      </c>
      <c r="H26" s="14">
        <v>444000</v>
      </c>
      <c r="I26" s="14">
        <v>3082000</v>
      </c>
      <c r="J26" s="14">
        <v>-506000</v>
      </c>
      <c r="K26" s="14">
        <f t="shared" si="1"/>
        <v>142026500</v>
      </c>
      <c r="M26" s="51">
        <f t="shared" si="0"/>
        <v>-44881200</v>
      </c>
    </row>
    <row r="27" spans="1:13" ht="15">
      <c r="A27" s="14" t="s">
        <v>19</v>
      </c>
      <c r="B27" s="14">
        <v>21748</v>
      </c>
      <c r="C27" s="62">
        <v>453</v>
      </c>
      <c r="D27" s="14">
        <v>1925.5</v>
      </c>
      <c r="E27" s="14">
        <f>ROUND(202339985,-2)</f>
        <v>202340000</v>
      </c>
      <c r="F27" s="14">
        <v>-38205400</v>
      </c>
      <c r="G27" s="14">
        <v>-744000</v>
      </c>
      <c r="H27" s="14">
        <v>4137000</v>
      </c>
      <c r="I27" s="14">
        <v>2964000</v>
      </c>
      <c r="J27" s="14">
        <v>-427000</v>
      </c>
      <c r="K27" s="14">
        <f t="shared" si="1"/>
        <v>170064600</v>
      </c>
      <c r="M27" s="51">
        <f t="shared" si="0"/>
        <v>-38632400</v>
      </c>
    </row>
    <row r="28" spans="1:13" ht="15">
      <c r="A28" s="14" t="s">
        <v>20</v>
      </c>
      <c r="B28" s="14">
        <v>16517</v>
      </c>
      <c r="C28" s="62">
        <v>344</v>
      </c>
      <c r="D28" s="14">
        <v>1894.8</v>
      </c>
      <c r="E28" s="14">
        <v>164229000</v>
      </c>
      <c r="F28" s="14">
        <v>-13281500</v>
      </c>
      <c r="G28" s="14">
        <v>11000</v>
      </c>
      <c r="H28" s="14">
        <v>1930000</v>
      </c>
      <c r="I28" s="14">
        <v>1964000</v>
      </c>
      <c r="J28" s="14">
        <v>-184000</v>
      </c>
      <c r="K28" s="14">
        <f t="shared" si="1"/>
        <v>154668500</v>
      </c>
      <c r="M28" s="51">
        <f t="shared" si="0"/>
        <v>-13465500</v>
      </c>
    </row>
    <row r="29" spans="1:13" ht="15">
      <c r="A29" s="14" t="s">
        <v>21</v>
      </c>
      <c r="B29" s="14">
        <v>8391</v>
      </c>
      <c r="C29" s="62">
        <v>580</v>
      </c>
      <c r="D29" s="14">
        <v>213.9</v>
      </c>
      <c r="E29" s="14">
        <v>66479000</v>
      </c>
      <c r="F29" s="14">
        <v>-16167800</v>
      </c>
      <c r="G29" s="14">
        <v>-2162000</v>
      </c>
      <c r="H29" s="14">
        <v>280000</v>
      </c>
      <c r="I29" s="14">
        <v>3724000</v>
      </c>
      <c r="J29" s="14">
        <v>-616000</v>
      </c>
      <c r="K29" s="14">
        <f t="shared" si="1"/>
        <v>51537200</v>
      </c>
      <c r="M29" s="51">
        <f t="shared" si="0"/>
        <v>-16783800</v>
      </c>
    </row>
    <row r="30" spans="1:13" ht="15">
      <c r="A30" s="14" t="s">
        <v>22</v>
      </c>
      <c r="B30" s="14">
        <v>7810</v>
      </c>
      <c r="C30" s="62">
        <v>250</v>
      </c>
      <c r="D30" s="14">
        <v>68.1</v>
      </c>
      <c r="E30" s="14">
        <f>ROUND(49833950,-2)</f>
        <v>49834000</v>
      </c>
      <c r="F30" s="14">
        <v>-9750100</v>
      </c>
      <c r="G30" s="14">
        <v>-182000</v>
      </c>
      <c r="H30" s="14">
        <v>-63000</v>
      </c>
      <c r="I30" s="14">
        <v>1485000</v>
      </c>
      <c r="J30" s="14">
        <v>-201000</v>
      </c>
      <c r="K30" s="14">
        <f t="shared" si="1"/>
        <v>41122900</v>
      </c>
      <c r="M30" s="51">
        <f t="shared" si="0"/>
        <v>-9951100</v>
      </c>
    </row>
    <row r="31" spans="1:13" ht="15">
      <c r="A31" s="14" t="s">
        <v>23</v>
      </c>
      <c r="B31" s="14">
        <v>7077</v>
      </c>
      <c r="C31" s="62">
        <v>329</v>
      </c>
      <c r="D31" s="14">
        <v>81</v>
      </c>
      <c r="E31" s="14">
        <f>ROUND(49338082,-2)</f>
        <v>49338100</v>
      </c>
      <c r="F31" s="14">
        <v>-15558500</v>
      </c>
      <c r="G31" s="14">
        <v>-733000</v>
      </c>
      <c r="H31" s="14">
        <v>-7000</v>
      </c>
      <c r="I31" s="14">
        <v>2097000</v>
      </c>
      <c r="J31" s="14">
        <v>-441000</v>
      </c>
      <c r="K31" s="14">
        <f t="shared" si="1"/>
        <v>34695600</v>
      </c>
      <c r="M31" s="51">
        <f>F31+J31</f>
        <v>-15999500</v>
      </c>
    </row>
    <row r="32" spans="1:13" ht="6" customHeight="1">
      <c r="A32" s="14"/>
      <c r="B32" s="14"/>
      <c r="C32" s="14"/>
      <c r="D32" s="14"/>
      <c r="E32" s="14"/>
      <c r="F32" s="14"/>
      <c r="G32" s="14"/>
      <c r="H32" s="14"/>
      <c r="I32" s="14"/>
      <c r="J32" s="44"/>
      <c r="K32" s="14"/>
      <c r="M32" s="50"/>
    </row>
    <row r="33" spans="1:13" ht="15">
      <c r="A33" s="11" t="s">
        <v>24</v>
      </c>
      <c r="B33" s="6">
        <f aca="true" t="shared" si="2" ref="B33:M33">SUM(B9:B31)</f>
        <v>344761</v>
      </c>
      <c r="C33" s="6">
        <f t="shared" si="2"/>
        <v>10314</v>
      </c>
      <c r="D33" s="6">
        <f t="shared" si="2"/>
        <v>18612.4</v>
      </c>
      <c r="E33" s="11">
        <f t="shared" si="2"/>
        <v>2685813600</v>
      </c>
      <c r="F33" s="11">
        <f t="shared" si="2"/>
        <v>-644328800</v>
      </c>
      <c r="G33" s="11">
        <f t="shared" si="2"/>
        <v>-12838000</v>
      </c>
      <c r="H33" s="11">
        <f t="shared" si="2"/>
        <v>20717000</v>
      </c>
      <c r="I33" s="11">
        <f t="shared" si="2"/>
        <v>64670000</v>
      </c>
      <c r="J33" s="11">
        <f t="shared" si="2"/>
        <v>-11377000</v>
      </c>
      <c r="K33" s="11">
        <f t="shared" si="2"/>
        <v>2102656800</v>
      </c>
      <c r="M33" s="28">
        <f t="shared" si="2"/>
        <v>-655705800</v>
      </c>
    </row>
    <row r="34" spans="1:13" ht="6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M34" s="50"/>
    </row>
    <row r="35" spans="1:13" ht="15">
      <c r="A35" s="14" t="s">
        <v>25</v>
      </c>
      <c r="B35" s="14">
        <v>0</v>
      </c>
      <c r="C35" s="14"/>
      <c r="D35" s="14"/>
      <c r="E35" s="14"/>
      <c r="F35" s="14"/>
      <c r="G35" s="14"/>
      <c r="H35" s="14"/>
      <c r="I35" s="14"/>
      <c r="J35" s="14"/>
      <c r="K35" s="14"/>
      <c r="M35" s="50"/>
    </row>
    <row r="36" spans="1:13" ht="15">
      <c r="A36" s="14" t="s">
        <v>65</v>
      </c>
      <c r="B36" s="14">
        <v>606</v>
      </c>
      <c r="C36" s="14">
        <v>53</v>
      </c>
      <c r="D36" s="14">
        <v>1</v>
      </c>
      <c r="E36" s="14"/>
      <c r="F36" s="14"/>
      <c r="G36" s="14"/>
      <c r="H36" s="14">
        <v>6000</v>
      </c>
      <c r="I36" s="12">
        <v>371000</v>
      </c>
      <c r="J36" s="12"/>
      <c r="K36" s="14">
        <f>SUM(E36:J36)</f>
        <v>377000</v>
      </c>
      <c r="M36" s="50"/>
    </row>
    <row r="37" spans="1:13" ht="15">
      <c r="A37" s="14" t="s">
        <v>26</v>
      </c>
      <c r="B37" s="14">
        <v>632</v>
      </c>
      <c r="C37" s="14">
        <v>28</v>
      </c>
      <c r="D37" s="14">
        <v>14.3</v>
      </c>
      <c r="E37" s="14">
        <v>2998000</v>
      </c>
      <c r="F37" s="14"/>
      <c r="G37" s="14"/>
      <c r="H37" s="14">
        <v>36000</v>
      </c>
      <c r="I37" s="14"/>
      <c r="J37" s="14"/>
      <c r="K37" s="14">
        <f>SUM(E37:J37)</f>
        <v>3034000</v>
      </c>
      <c r="M37" s="50"/>
    </row>
    <row r="38" spans="1:13" ht="15">
      <c r="A38" s="14" t="s">
        <v>27</v>
      </c>
      <c r="B38" s="14">
        <v>51</v>
      </c>
      <c r="C38" s="14">
        <v>5</v>
      </c>
      <c r="D38" s="14">
        <v>2.7</v>
      </c>
      <c r="E38" s="14">
        <v>653000</v>
      </c>
      <c r="F38" s="14"/>
      <c r="G38" s="14"/>
      <c r="H38" s="14"/>
      <c r="I38" s="14">
        <v>61000</v>
      </c>
      <c r="J38" s="14"/>
      <c r="K38" s="14">
        <f>SUM(E38:J38)</f>
        <v>714000</v>
      </c>
      <c r="M38" s="50"/>
    </row>
    <row r="39" spans="1:13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M39" s="50"/>
    </row>
    <row r="40" spans="1:13" ht="15.75" thickBot="1">
      <c r="A40" s="10" t="s">
        <v>29</v>
      </c>
      <c r="B40" s="4">
        <f>SUM(B33:B39)</f>
        <v>346050</v>
      </c>
      <c r="C40" s="4">
        <f>SUM(C33:C39)</f>
        <v>10400</v>
      </c>
      <c r="D40" s="4">
        <f>SUM(D33:D39)</f>
        <v>18630.4</v>
      </c>
      <c r="E40" s="10">
        <f aca="true" t="shared" si="3" ref="E40:M40">SUM(E33:E38)</f>
        <v>2689464600</v>
      </c>
      <c r="F40" s="10">
        <f t="shared" si="3"/>
        <v>-644328800</v>
      </c>
      <c r="G40" s="10">
        <f t="shared" si="3"/>
        <v>-12838000</v>
      </c>
      <c r="H40" s="10">
        <f t="shared" si="3"/>
        <v>20759000</v>
      </c>
      <c r="I40" s="10">
        <f t="shared" si="3"/>
        <v>65102000</v>
      </c>
      <c r="J40" s="10">
        <f t="shared" si="3"/>
        <v>-11377000</v>
      </c>
      <c r="K40" s="10">
        <f>SUM(K33:K38)</f>
        <v>2106781800</v>
      </c>
      <c r="M40" s="26">
        <f t="shared" si="3"/>
        <v>-655705800</v>
      </c>
    </row>
    <row r="41" spans="3:14" ht="9" customHeight="1">
      <c r="C41" s="14"/>
      <c r="D41" s="14"/>
      <c r="E41" s="14"/>
      <c r="F41" s="14"/>
      <c r="G41" s="14"/>
      <c r="H41" s="14"/>
      <c r="I41" s="14"/>
      <c r="J41" s="14"/>
      <c r="K41" s="14"/>
      <c r="M41" s="44"/>
      <c r="N41" s="44"/>
    </row>
    <row r="42" spans="1:14" ht="17.25" customHeight="1">
      <c r="A42" s="48" t="s">
        <v>86</v>
      </c>
      <c r="C42" s="14"/>
      <c r="D42" s="14"/>
      <c r="E42" s="14"/>
      <c r="F42" s="14"/>
      <c r="G42" s="14"/>
      <c r="H42" s="58"/>
      <c r="I42" s="14"/>
      <c r="J42" s="65"/>
      <c r="K42" s="14"/>
      <c r="M42" s="44"/>
      <c r="N42" s="44"/>
    </row>
    <row r="43" spans="1:14" ht="31.5" customHeight="1">
      <c r="A43" s="77" t="s">
        <v>82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M43" s="44"/>
      <c r="N43" s="44"/>
    </row>
    <row r="44" spans="3:13" ht="15">
      <c r="C44" s="14"/>
      <c r="D44" s="14"/>
      <c r="E44" s="14"/>
      <c r="F44" s="14"/>
      <c r="G44" s="14"/>
      <c r="H44" s="14"/>
      <c r="I44" s="14"/>
      <c r="J44" s="14"/>
      <c r="K44" s="14"/>
      <c r="M44" s="32"/>
    </row>
    <row r="45" ht="15">
      <c r="M45" s="32"/>
    </row>
    <row r="46" ht="15">
      <c r="M46" s="32"/>
    </row>
    <row r="47" ht="15">
      <c r="M47" s="14"/>
    </row>
    <row r="48" ht="15">
      <c r="M48" s="14"/>
    </row>
  </sheetData>
  <sheetProtection/>
  <mergeCells count="2">
    <mergeCell ref="A43:K43"/>
    <mergeCell ref="G5:J5"/>
  </mergeCells>
  <printOptions horizontalCentered="1"/>
  <pageMargins left="0.7" right="0.7" top="0.75" bottom="0.75" header="0.3" footer="0.3"/>
  <pageSetup fitToHeight="1" fitToWidth="1" horizontalDpi="600" verticalDpi="600" orientation="landscape" paperSize="5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Rideau, Rodney</dc:creator>
  <cp:keywords/>
  <dc:description/>
  <cp:lastModifiedBy>Kemsley, Chris</cp:lastModifiedBy>
  <cp:lastPrinted>2015-07-23T20:54:54Z</cp:lastPrinted>
  <dcterms:created xsi:type="dcterms:W3CDTF">2015-03-23T19:18:44Z</dcterms:created>
  <dcterms:modified xsi:type="dcterms:W3CDTF">2018-11-15T22:38:14Z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2cc0b60a-af7a-43d9-9508-6226cf90a62d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72WVDYXX2UNK-1717399031-180</vt:lpwstr>
  </property>
  <property fmtid="{D5CDD505-2E9C-101B-9397-08002B2CF9AE}" pid="7" name="_dlc_DocIdUrl">
    <vt:lpwstr>https://update.calstate.edu/csu-system/about-the-csu/budget/_layouts/15/DocIdRedir.aspx?ID=72WVDYXX2UNK-1717399031-180, 72WVDYXX2UNK-1717399031-180</vt:lpwstr>
  </property>
</Properties>
</file>