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640" windowWidth="25260" windowHeight="5685" tabRatio="569" activeTab="0"/>
  </bookViews>
  <sheets>
    <sheet name="(A) Governor's Budget Summary" sheetId="1" r:id="rId1"/>
    <sheet name="(B) Base Bud Adj" sheetId="2" r:id="rId2"/>
    <sheet name="(C) 10-11 Mand Costs-GF Increas" sheetId="3" r:id="rId3"/>
    <sheet name="(D) Interest Pymt Schedule" sheetId="4" r:id="rId4"/>
    <sheet name="(E) SUF Revenue-310,317" sheetId="5" r:id="rId5"/>
  </sheets>
  <externalReferences>
    <externalReference r:id="rId8"/>
  </externalReferences>
  <definedNames>
    <definedName name="_xlnm.Print_Area" localSheetId="0">'(A) Governor''s Budget Summary'!$A$1:$Q$44</definedName>
    <definedName name="_xlnm.Print_Area" localSheetId="1">'(B) Base Bud Adj'!$A$1:$U$42</definedName>
    <definedName name="_xlnm.Print_Area" localSheetId="2">'(C) 10-11 Mand Costs-GF Increas'!$A$1:$O$44</definedName>
    <definedName name="_xlnm.Print_Area" localSheetId="3">'(D) Interest Pymt Schedule'!$A$1:$J$35</definedName>
  </definedNames>
  <calcPr fullCalcOnLoad="1"/>
</workbook>
</file>

<file path=xl/sharedStrings.xml><?xml version="1.0" encoding="utf-8"?>
<sst xmlns="http://schemas.openxmlformats.org/spreadsheetml/2006/main" count="239" uniqueCount="120">
  <si>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</si>
  <si>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</si>
  <si>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</si>
  <si>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</si>
  <si>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</si>
  <si>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</si>
  <si>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</si>
  <si>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</si>
  <si>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</si>
  <si>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</si>
  <si>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</si>
  <si>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</si>
  <si>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</si>
  <si>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</si>
  <si>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</si>
  <si>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</si>
  <si>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</si>
  <si>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</si>
  <si>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</si>
  <si>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</si>
  <si>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</si>
  <si>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</si>
  <si>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</si>
  <si>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</si>
  <si>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</si>
  <si>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</si>
  <si>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</si>
  <si>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</si>
  <si>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</si>
  <si>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</si>
  <si>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Campus Reported 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</si>
  <si>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</si>
  <si>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t>CalStateTeach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</si>
  <si>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</si>
  <si>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t>General Fund Allocation</t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</si>
  <si>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</si>
  <si>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</si>
  <si>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</si>
  <si>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</si>
  <si>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</si>
  <si>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</si>
  <si>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Total Mandatory Costs Increases</t>
  </si>
  <si>
    <t>2010/11 Gross Budget Allocation</t>
  </si>
  <si>
    <t>2009/10 FIRMS Final Budget Detail</t>
  </si>
  <si>
    <r>
      <t>B 09-02 General Fund Allocation</t>
    </r>
  </si>
  <si>
    <t>(Sum Cols. 1-3)</t>
  </si>
  <si>
    <t>2010/11 CSU Governor's Preliminary Budget</t>
  </si>
  <si>
    <r>
      <t>(=Col. 3)</t>
    </r>
    <r>
      <rPr>
        <i/>
        <vertAlign val="superscript"/>
        <sz val="9"/>
        <rFont val="Times New Roman"/>
        <family val="1"/>
      </rPr>
      <t>1</t>
    </r>
  </si>
  <si>
    <t>ATTACHMENT A - 2010/11 Governor's Budget Allocations, Gross Budget Summary</t>
  </si>
  <si>
    <t>2009/10 Retirement Adjustment</t>
  </si>
  <si>
    <t>2009/10 B 09-02 General Fund Allocation</t>
  </si>
  <si>
    <t>(Cols. 5-4)</t>
  </si>
  <si>
    <t>(Cols. 3 + 6)</t>
  </si>
  <si>
    <t>2010/11 Governor's Budget, General Fund Base Adjustments</t>
  </si>
  <si>
    <t xml:space="preserve">The 2010/11 interest chargeback by campus is based on the campus operating revenue equivalent to the 2009/10 SUF and Other Fee Revenue reported in 2009/10 FIRMS final budget submissions. </t>
  </si>
  <si>
    <t>GF Base Expenditure Adjustment from Change in $571M Distribution</t>
  </si>
  <si>
    <t>2010/11           General Fund Base (after base budget adjustments)</t>
  </si>
  <si>
    <t>GF Base Adjustments (SWPs)</t>
  </si>
  <si>
    <t>General Fund Base Adjustments</t>
  </si>
  <si>
    <r>
      <t>New Space Need</t>
    </r>
    <r>
      <rPr>
        <vertAlign val="superscript"/>
        <sz val="11"/>
        <rFont val="Times New Roman"/>
        <family val="1"/>
      </rPr>
      <t xml:space="preserve"> 1</t>
    </r>
  </si>
  <si>
    <t>2010/11 GF Increase</t>
  </si>
  <si>
    <t>(Cols. 1+9)</t>
  </si>
  <si>
    <t>Unadjusted Other Fee Revenue and Reim.</t>
  </si>
  <si>
    <t>2010/11 Budget Plan</t>
  </si>
  <si>
    <r>
      <t>(=Col. 2)</t>
    </r>
    <r>
      <rPr>
        <i/>
        <vertAlign val="superscript"/>
        <sz val="9"/>
        <rFont val="Times New Roman"/>
        <family val="1"/>
      </rPr>
      <t>2</t>
    </r>
  </si>
  <si>
    <t>(Attach. B, Col. 9)</t>
  </si>
  <si>
    <t>Mandatory Cost Increases</t>
  </si>
  <si>
    <t>Col. 5 + 6</t>
  </si>
  <si>
    <t>Attachment D, CSU Operating Revenue - 2010/11 Interest Payment Schedule</t>
  </si>
  <si>
    <t>State Support Expenditure Increases</t>
  </si>
  <si>
    <t>(Attach. C, Col. 7)</t>
  </si>
  <si>
    <r>
      <t xml:space="preserve">$305M Restoration of 2009/10 One-time Unallocated Reductions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</si>
  <si>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2.5% Enrollment Growth </t>
    </r>
    <r>
      <rPr>
        <b/>
        <vertAlign val="superscript"/>
        <sz val="11"/>
        <color indexed="8"/>
        <rFont val="Times New Roman"/>
        <family val="1"/>
      </rPr>
      <t>3</t>
    </r>
  </si>
  <si>
    <t>ATTACHMENT C - 2010/11 Mandatory Cost Increases / 2010/11 Governor's Budget GF Restoration and Enrollment Growth</t>
  </si>
  <si>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 xml:space="preserve"> Held in SWPs as the 2.5% (8,290 FTES) enrollment growth is contingent on the federal government providing $6.9 billion of funding proposed in the 2010/11 Governor's budget for various programs outside of higher education.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</si>
  <si>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Held in SWP pending further decisions related to enrollment targets and use of funds.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</si>
  <si>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Includes 2010/11 new space need @ $9.73 sq. ft. </t>
    </r>
  </si>
  <si>
    <t>(Sum Cols. 7-9)</t>
  </si>
  <si>
    <t>(Cols. 1+5+6)</t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</si>
  <si>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redistrib. of GF base expenditure reduction)</t>
    </r>
  </si>
  <si>
    <t>(Cols. 1 + 2)</t>
  </si>
  <si>
    <t>2009/10 B 09-02, $571M General Fund Base Expenditure Reduction Distribution</t>
  </si>
  <si>
    <t>2010/11 $571M General Fund Base Expenditure Reduction Distribution</t>
  </si>
  <si>
    <t>(Cols. 2 + 6 + 8)</t>
  </si>
  <si>
    <t>FTES Target</t>
  </si>
  <si>
    <t>Enrollment Decline from 342,893 to 310,317 FTES Target</t>
  </si>
  <si>
    <t>Col. 1 + 5</t>
  </si>
  <si>
    <t>= Col. 2</t>
  </si>
  <si>
    <t>Col. 3 + 6</t>
  </si>
  <si>
    <t>Col. 4 + 7</t>
  </si>
  <si>
    <t>(Sum Cols. 8-11)</t>
  </si>
  <si>
    <t>Grand Total</t>
  </si>
  <si>
    <t>SUG adjustment based on an enrollment decline from 342,893 to 310,317 resident FTES</t>
  </si>
  <si>
    <t>SUG set-aside from a 10% SUF increase and summer rate change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</si>
  <si>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2010/11 operating revenue interest assessment is $7.2M, which represents a -$.91M adjustment from the 2009/10 $8.15M level.  CSU is obligated by budget statute to keep the State whole for interest earned on student fee revenue held in trust. This was the result of a State/CSU agreement when CSU support operations moved from the General Fund to the Trust Fund in 2006/07. </t>
    </r>
  </si>
  <si>
    <t>At this time, the above summary does not reflect a change in 2010/11 SUF revenue from campus 2009/10 levels; reference Attachment E for SUF revenue based on CSU Mid-Year Projection Plan</t>
  </si>
  <si>
    <t>Represents other CSU Operating Fund fee revenue (other 501XXX, 5800XX) besides SUF; the only reimbursement shown is lease bond payments in SWPs and the 2010/11 amount is a placeholder</t>
  </si>
  <si>
    <t>Unadjusted State University Fee Revenue</t>
  </si>
  <si>
    <t>Resident Students</t>
  </si>
  <si>
    <t>Sub-Totals</t>
  </si>
  <si>
    <t>10% SUF Rate Increase</t>
  </si>
  <si>
    <t xml:space="preserve">Summer SUF Rate Change (2009/10 Rates) </t>
  </si>
  <si>
    <t>Change in Student Enrollment Patterns</t>
  </si>
  <si>
    <t>Resident Student Enrollment Reduction</t>
  </si>
  <si>
    <t>ATTACHMENT E -- 2010/11 SUF Revenue Adjustment - Provisional Projection Based on CSU Mid-Year Reduction Plan Resident Student Enrollment Targets</t>
  </si>
  <si>
    <t>2010/11 SUF Revenue Adjustment - Provisional</t>
  </si>
  <si>
    <t>(Included for information only)</t>
  </si>
  <si>
    <t>(Included with the 2010/11 Governor's Budget allocation memo for information only)</t>
  </si>
  <si>
    <t>Net SUG pool adjustment with enrollment decline and 10% SUF rate increase</t>
  </si>
  <si>
    <r>
      <t xml:space="preserve">TOTAL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</si>
  <si>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1</t>
    </r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</si>
  <si>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</si>
  <si>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The nonresident FTES is equal to the most recent past year actuals available (2008/09) and increased from 2007/08 actual of 14,510 FTES</t>
    </r>
  </si>
  <si>
    <r>
      <rPr>
        <u val="single"/>
        <vertAlign val="superscript"/>
        <sz val="11"/>
        <rFont val="Times New Roman"/>
        <family val="1"/>
      </rPr>
      <t>3</t>
    </r>
    <r>
      <rPr>
        <u val="single"/>
        <sz val="11"/>
        <rFont val="Times New Roman"/>
        <family val="1"/>
      </rPr>
      <t xml:space="preserve"> SUG adjustments (not included above) that would correspond with provisional 2010/11 SUF Revenue: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</si>
  <si>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Represents change in actual student enrollment patterns from 2007/08 to 2008/09 (most recent past-year actuals available)</t>
    </r>
  </si>
  <si>
    <t>Nonresident Students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</si>
  <si>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operating fee revenue interest assessment adjustment ($910,500) in Systemwide Provisions (SWP); transfers from SWP to C.O. for Assist Program ($182,418), headquarters rent and insurance ($2,293,095), and Council on Science &amp; Technology dues ($77,625); SWP lease revenue bonds increases ($4.6M-2009/10, $8.1M-2010/11), dental annuitants funding adjustment ($.7M), and retired 1997 deferred maintenance debt decrease ($1,878,000)</t>
    </r>
  </si>
  <si>
    <t>ATTACHMENT B -- 2010/11 Governor's Budget Base Adjustments</t>
  </si>
  <si>
    <t>Coded Memo B 10-01, February 19, 2010</t>
  </si>
  <si>
    <t>FTES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</si>
</sst>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_(&quot;$&quot;* #,##0_);_(&quot;$&quot;* \(#,##0\);_(&quot;$&quot;* &quot;-&quot;??_);_(@_)"/>
  </numFmts>
  <fonts count="10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9"/>
      <name val="Times New Roman"/>
      <family val="1"/>
    </font>
    <font>
      <i/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8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i/>
      <sz val="10"/>
      <color indexed="1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u val="single"/>
      <sz val="11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"/>
      <color theme="3" tint="-0.24997000396251678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3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8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37" fontId="5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 horizontal="left" wrapText="1"/>
    </xf>
    <xf numFmtId="37" fontId="12" fillId="0" borderId="13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 wrapText="1"/>
    </xf>
    <xf numFmtId="37" fontId="8" fillId="0" borderId="14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" wrapText="1"/>
    </xf>
    <xf numFmtId="37" fontId="8" fillId="0" borderId="13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5" fontId="11" fillId="0" borderId="11" xfId="0" applyNumberFormat="1" applyFont="1" applyFill="1" applyBorder="1" applyAlignment="1">
      <alignment/>
    </xf>
    <xf numFmtId="5" fontId="11" fillId="0" borderId="12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/>
    </xf>
    <xf numFmtId="5" fontId="11" fillId="0" borderId="11" xfId="0" applyNumberFormat="1" applyFont="1" applyFill="1" applyBorder="1" applyAlignment="1">
      <alignment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5" fontId="11" fillId="0" borderId="0" xfId="0" applyNumberFormat="1" applyFont="1" applyFill="1" applyAlignment="1">
      <alignment/>
    </xf>
    <xf numFmtId="5" fontId="11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1" fillId="0" borderId="15" xfId="0" applyNumberFormat="1" applyFont="1" applyFill="1" applyBorder="1" applyAlignment="1">
      <alignment/>
    </xf>
    <xf numFmtId="5" fontId="11" fillId="0" borderId="0" xfId="0" applyNumberFormat="1" applyFont="1" applyFill="1" applyAlignment="1">
      <alignment/>
    </xf>
    <xf numFmtId="5" fontId="11" fillId="0" borderId="13" xfId="0" applyNumberFormat="1" applyFont="1" applyFill="1" applyBorder="1" applyAlignment="1">
      <alignment/>
    </xf>
    <xf numFmtId="37" fontId="11" fillId="0" borderId="13" xfId="0" applyNumberFormat="1" applyFont="1" applyFill="1" applyBorder="1" applyAlignment="1">
      <alignment/>
    </xf>
    <xf numFmtId="5" fontId="11" fillId="0" borderId="16" xfId="0" applyNumberFormat="1" applyFont="1" applyFill="1" applyBorder="1" applyAlignment="1">
      <alignment/>
    </xf>
    <xf numFmtId="5" fontId="11" fillId="0" borderId="17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 quotePrefix="1">
      <alignment horizontal="center" vertical="center" wrapText="1"/>
    </xf>
    <xf numFmtId="37" fontId="14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85" fillId="0" borderId="0" xfId="0" applyNumberFormat="1" applyFont="1" applyFill="1" applyBorder="1" applyAlignment="1">
      <alignment horizontal="center" wrapText="1"/>
    </xf>
    <xf numFmtId="5" fontId="11" fillId="0" borderId="13" xfId="0" applyNumberFormat="1" applyFont="1" applyFill="1" applyBorder="1" applyAlignment="1">
      <alignment horizontal="right" indent="1"/>
    </xf>
    <xf numFmtId="37" fontId="11" fillId="0" borderId="13" xfId="0" applyNumberFormat="1" applyFont="1" applyFill="1" applyBorder="1" applyAlignment="1">
      <alignment horizontal="right" indent="1"/>
    </xf>
    <xf numFmtId="5" fontId="11" fillId="0" borderId="16" xfId="0" applyNumberFormat="1" applyFont="1" applyFill="1" applyBorder="1" applyAlignment="1">
      <alignment horizontal="right" indent="1"/>
    </xf>
    <xf numFmtId="37" fontId="86" fillId="0" borderId="0" xfId="0" applyNumberFormat="1" applyFont="1" applyFill="1" applyAlignment="1">
      <alignment/>
    </xf>
    <xf numFmtId="37" fontId="0" fillId="0" borderId="0" xfId="64" applyNumberFormat="1" applyFont="1">
      <alignment/>
      <protection/>
    </xf>
    <xf numFmtId="5" fontId="0" fillId="0" borderId="0" xfId="64" applyNumberFormat="1" applyFont="1">
      <alignment/>
      <protection/>
    </xf>
    <xf numFmtId="37" fontId="11" fillId="0" borderId="0" xfId="64" applyNumberFormat="1" applyFont="1" applyFill="1" applyAlignment="1">
      <alignment vertical="top"/>
      <protection/>
    </xf>
    <xf numFmtId="37" fontId="11" fillId="0" borderId="0" xfId="64" applyNumberFormat="1" applyFont="1" applyFill="1" applyBorder="1" applyAlignment="1">
      <alignment/>
      <protection/>
    </xf>
    <xf numFmtId="5" fontId="11" fillId="0" borderId="11" xfId="64" applyNumberFormat="1" applyFont="1" applyFill="1" applyBorder="1" applyAlignment="1">
      <alignment/>
      <protection/>
    </xf>
    <xf numFmtId="5" fontId="11" fillId="0" borderId="12" xfId="64" applyNumberFormat="1" applyFont="1" applyFill="1" applyBorder="1" applyAlignment="1">
      <alignment/>
      <protection/>
    </xf>
    <xf numFmtId="37" fontId="87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/>
    </xf>
    <xf numFmtId="37" fontId="0" fillId="0" borderId="0" xfId="64" applyNumberFormat="1" applyFill="1">
      <alignment/>
      <protection/>
    </xf>
    <xf numFmtId="37" fontId="11" fillId="0" borderId="0" xfId="64" applyNumberFormat="1" applyFont="1" applyFill="1">
      <alignment/>
      <protection/>
    </xf>
    <xf numFmtId="37" fontId="0" fillId="0" borderId="0" xfId="64" applyNumberFormat="1" applyFill="1" applyBorder="1" applyAlignment="1">
      <alignment horizontal="left"/>
      <protection/>
    </xf>
    <xf numFmtId="37" fontId="0" fillId="0" borderId="0" xfId="64" applyNumberFormat="1" applyFill="1" applyAlignment="1">
      <alignment horizontal="left"/>
      <protection/>
    </xf>
    <xf numFmtId="37" fontId="11" fillId="0" borderId="0" xfId="64" applyNumberFormat="1" applyFont="1" applyFill="1" applyAlignment="1">
      <alignment/>
      <protection/>
    </xf>
    <xf numFmtId="5" fontId="11" fillId="0" borderId="0" xfId="64" applyNumberFormat="1" applyFont="1" applyFill="1" applyBorder="1" applyAlignment="1">
      <alignment/>
      <protection/>
    </xf>
    <xf numFmtId="37" fontId="11" fillId="0" borderId="12" xfId="64" applyNumberFormat="1" applyFont="1" applyFill="1" applyBorder="1" applyAlignment="1">
      <alignment/>
      <protection/>
    </xf>
    <xf numFmtId="37" fontId="23" fillId="0" borderId="0" xfId="64" applyNumberFormat="1" applyFont="1" applyFill="1" applyBorder="1" applyAlignment="1">
      <alignment/>
      <protection/>
    </xf>
    <xf numFmtId="37" fontId="88" fillId="0" borderId="0" xfId="64" applyNumberFormat="1" applyFont="1" applyFill="1" applyBorder="1" applyAlignment="1">
      <alignment/>
      <protection/>
    </xf>
    <xf numFmtId="37" fontId="11" fillId="0" borderId="11" xfId="64" applyNumberFormat="1" applyFont="1" applyFill="1" applyBorder="1" applyAlignment="1">
      <alignment/>
      <protection/>
    </xf>
    <xf numFmtId="37" fontId="88" fillId="0" borderId="0" xfId="64" applyNumberFormat="1" applyFont="1">
      <alignment/>
      <protection/>
    </xf>
    <xf numFmtId="5" fontId="0" fillId="0" borderId="0" xfId="64" applyNumberFormat="1" applyFill="1">
      <alignment/>
      <protection/>
    </xf>
    <xf numFmtId="5" fontId="11" fillId="0" borderId="0" xfId="64" applyNumberFormat="1" applyFont="1" applyFill="1">
      <alignment/>
      <protection/>
    </xf>
    <xf numFmtId="5" fontId="88" fillId="0" borderId="0" xfId="64" applyNumberFormat="1" applyFont="1" applyFill="1" applyBorder="1" applyAlignment="1">
      <alignment/>
      <protection/>
    </xf>
    <xf numFmtId="165" fontId="88" fillId="0" borderId="0" xfId="64" applyNumberFormat="1" applyFont="1">
      <alignment/>
      <protection/>
    </xf>
    <xf numFmtId="5" fontId="11" fillId="0" borderId="0" xfId="64" applyNumberFormat="1" applyFont="1" applyFill="1" applyAlignment="1">
      <alignment/>
      <protection/>
    </xf>
    <xf numFmtId="37" fontId="0" fillId="0" borderId="0" xfId="64" applyNumberFormat="1" applyFill="1" applyAlignment="1">
      <alignment horizontal="center"/>
      <protection/>
    </xf>
    <xf numFmtId="37" fontId="16" fillId="0" borderId="0" xfId="64" applyNumberFormat="1" applyFont="1" applyFill="1" applyBorder="1" applyAlignment="1">
      <alignment horizontal="center" wrapText="1"/>
      <protection/>
    </xf>
    <xf numFmtId="37" fontId="11" fillId="0" borderId="0" xfId="64" applyNumberFormat="1" applyFont="1" applyFill="1" applyBorder="1" applyAlignment="1">
      <alignment horizontal="center"/>
      <protection/>
    </xf>
    <xf numFmtId="37" fontId="11" fillId="0" borderId="0" xfId="64" applyNumberFormat="1" applyFont="1" applyFill="1" applyBorder="1" applyAlignment="1">
      <alignment horizontal="right" indent="1"/>
      <protection/>
    </xf>
    <xf numFmtId="37" fontId="8" fillId="0" borderId="0" xfId="64" applyNumberFormat="1" applyFont="1" applyFill="1" applyAlignment="1">
      <alignment horizontal="center"/>
      <protection/>
    </xf>
    <xf numFmtId="37" fontId="24" fillId="0" borderId="0" xfId="64" applyNumberFormat="1" applyFont="1" applyFill="1" applyBorder="1" applyAlignment="1" quotePrefix="1">
      <alignment horizontal="center" wrapText="1"/>
      <protection/>
    </xf>
    <xf numFmtId="37" fontId="15" fillId="0" borderId="0" xfId="64" applyNumberFormat="1" applyFont="1" applyFill="1" applyBorder="1" applyAlignment="1">
      <alignment horizontal="center" wrapText="1"/>
      <protection/>
    </xf>
    <xf numFmtId="37" fontId="8" fillId="0" borderId="0" xfId="64" applyNumberFormat="1" applyFont="1" applyFill="1" applyBorder="1" applyAlignment="1">
      <alignment horizontal="center"/>
      <protection/>
    </xf>
    <xf numFmtId="37" fontId="8" fillId="0" borderId="0" xfId="64" applyNumberFormat="1" applyFont="1" applyFill="1" applyBorder="1" applyAlignment="1">
      <alignment horizontal="left"/>
      <protection/>
    </xf>
    <xf numFmtId="37" fontId="8" fillId="0" borderId="0" xfId="64" applyNumberFormat="1" applyFont="1" applyFill="1" applyAlignment="1">
      <alignment horizontal="left"/>
      <protection/>
    </xf>
    <xf numFmtId="37" fontId="8" fillId="0" borderId="0" xfId="64" applyNumberFormat="1" applyFont="1" applyFill="1" applyAlignment="1">
      <alignment horizontal="center" wrapText="1"/>
      <protection/>
    </xf>
    <xf numFmtId="37" fontId="27" fillId="0" borderId="0" xfId="64" applyNumberFormat="1" applyFont="1" applyFill="1" applyBorder="1" applyAlignment="1">
      <alignment horizontal="left"/>
      <protection/>
    </xf>
    <xf numFmtId="37" fontId="8" fillId="0" borderId="0" xfId="64" applyNumberFormat="1" applyFont="1" applyFill="1" applyBorder="1" applyAlignment="1">
      <alignment horizontal="left" wrapText="1"/>
      <protection/>
    </xf>
    <xf numFmtId="37" fontId="25" fillId="0" borderId="0" xfId="64" applyNumberFormat="1" applyFont="1" applyFill="1">
      <alignment/>
      <protection/>
    </xf>
    <xf numFmtId="37" fontId="25" fillId="0" borderId="0" xfId="64" applyNumberFormat="1" applyFont="1" applyFill="1" applyAlignment="1">
      <alignment horizontal="left"/>
      <protection/>
    </xf>
    <xf numFmtId="37" fontId="4" fillId="0" borderId="0" xfId="64" applyNumberFormat="1" applyFont="1" applyFill="1" applyAlignment="1">
      <alignment horizontal="center" vertical="center"/>
      <protection/>
    </xf>
    <xf numFmtId="37" fontId="4" fillId="0" borderId="0" xfId="64" applyNumberFormat="1" applyFont="1" applyFill="1" applyBorder="1" applyAlignment="1">
      <alignment horizontal="center" vertical="center"/>
      <protection/>
    </xf>
    <xf numFmtId="37" fontId="4" fillId="0" borderId="0" xfId="64" applyNumberFormat="1" applyFont="1" applyFill="1" applyBorder="1" applyAlignment="1">
      <alignment horizontal="left"/>
      <protection/>
    </xf>
    <xf numFmtId="37" fontId="89" fillId="0" borderId="0" xfId="64" applyNumberFormat="1" applyFont="1" applyFill="1" applyBorder="1">
      <alignment/>
      <protection/>
    </xf>
    <xf numFmtId="37" fontId="28" fillId="0" borderId="0" xfId="64" applyNumberFormat="1" applyFont="1" applyFill="1" applyBorder="1" applyAlignment="1">
      <alignment horizontal="left"/>
      <protection/>
    </xf>
    <xf numFmtId="37" fontId="10" fillId="0" borderId="0" xfId="0" applyNumberFormat="1" applyFont="1" applyFill="1" applyBorder="1" applyAlignment="1">
      <alignment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164" fontId="0" fillId="0" borderId="0" xfId="74" applyNumberFormat="1" applyFont="1" applyFill="1" applyAlignment="1">
      <alignment/>
    </xf>
    <xf numFmtId="37" fontId="11" fillId="0" borderId="0" xfId="64" applyNumberFormat="1" applyFont="1" applyFill="1" applyBorder="1">
      <alignment/>
      <protection/>
    </xf>
    <xf numFmtId="37" fontId="88" fillId="0" borderId="0" xfId="64" applyNumberFormat="1" applyFont="1" applyFill="1" applyBorder="1">
      <alignment/>
      <protection/>
    </xf>
    <xf numFmtId="0" fontId="13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29" fillId="0" borderId="0" xfId="68" applyFont="1">
      <alignment/>
      <protection/>
    </xf>
    <xf numFmtId="37" fontId="4" fillId="0" borderId="0" xfId="68" applyNumberFormat="1" applyFont="1" applyFill="1" applyBorder="1" applyAlignment="1">
      <alignment horizontal="center" vertical="center"/>
      <protection/>
    </xf>
    <xf numFmtId="37" fontId="90" fillId="0" borderId="0" xfId="68" applyNumberFormat="1" applyFont="1" applyFill="1" applyBorder="1" applyAlignment="1">
      <alignment horizontal="center" vertical="center"/>
      <protection/>
    </xf>
    <xf numFmtId="37" fontId="4" fillId="0" borderId="0" xfId="68" applyNumberFormat="1" applyFont="1" applyFill="1" applyBorder="1" applyAlignment="1">
      <alignment horizontal="center" wrapText="1"/>
      <protection/>
    </xf>
    <xf numFmtId="0" fontId="4" fillId="0" borderId="0" xfId="68" applyFont="1" applyBorder="1" applyAlignment="1">
      <alignment horizontal="center" wrapText="1"/>
      <protection/>
    </xf>
    <xf numFmtId="37" fontId="29" fillId="0" borderId="0" xfId="68" applyNumberFormat="1" applyFont="1" applyFill="1" applyBorder="1" applyAlignment="1">
      <alignment horizontal="center" vertical="center" wrapText="1"/>
      <protection/>
    </xf>
    <xf numFmtId="5" fontId="5" fillId="0" borderId="0" xfId="68" applyNumberFormat="1" applyFont="1" applyFill="1" applyBorder="1">
      <alignment/>
      <protection/>
    </xf>
    <xf numFmtId="5" fontId="5" fillId="0" borderId="0" xfId="64" applyNumberFormat="1" applyFont="1" applyFill="1" applyBorder="1">
      <alignment/>
      <protection/>
    </xf>
    <xf numFmtId="37" fontId="5" fillId="0" borderId="0" xfId="68" applyNumberFormat="1" applyFont="1" applyFill="1" applyBorder="1">
      <alignment/>
      <protection/>
    </xf>
    <xf numFmtId="166" fontId="5" fillId="0" borderId="0" xfId="49" applyNumberFormat="1" applyFont="1" applyBorder="1" applyAlignment="1">
      <alignment/>
    </xf>
    <xf numFmtId="166" fontId="5" fillId="0" borderId="0" xfId="47" applyNumberFormat="1" applyFont="1" applyBorder="1" applyAlignment="1">
      <alignment/>
    </xf>
    <xf numFmtId="166" fontId="5" fillId="0" borderId="18" xfId="49" applyNumberFormat="1" applyFont="1" applyBorder="1" applyAlignment="1">
      <alignment/>
    </xf>
    <xf numFmtId="166" fontId="5" fillId="0" borderId="18" xfId="47" applyNumberFormat="1" applyFont="1" applyBorder="1" applyAlignment="1">
      <alignment/>
    </xf>
    <xf numFmtId="5" fontId="4" fillId="0" borderId="0" xfId="68" applyNumberFormat="1" applyFont="1" applyFill="1" applyBorder="1">
      <alignment/>
      <protection/>
    </xf>
    <xf numFmtId="0" fontId="4" fillId="0" borderId="0" xfId="68" applyFont="1" applyBorder="1">
      <alignment/>
      <protection/>
    </xf>
    <xf numFmtId="37" fontId="91" fillId="0" borderId="0" xfId="0" applyNumberFormat="1" applyFont="1" applyFill="1" applyAlignment="1">
      <alignment/>
    </xf>
    <xf numFmtId="37" fontId="91" fillId="0" borderId="0" xfId="64" applyNumberFormat="1" applyFont="1" applyFill="1" applyAlignment="1">
      <alignment horizontal="left"/>
      <protection/>
    </xf>
    <xf numFmtId="37" fontId="92" fillId="0" borderId="0" xfId="0" applyNumberFormat="1" applyFont="1" applyFill="1" applyBorder="1" applyAlignment="1">
      <alignment wrapText="1"/>
    </xf>
    <xf numFmtId="37" fontId="93" fillId="0" borderId="14" xfId="0" applyNumberFormat="1" applyFont="1" applyFill="1" applyBorder="1" applyAlignment="1">
      <alignment horizontal="center" wrapText="1"/>
    </xf>
    <xf numFmtId="5" fontId="11" fillId="0" borderId="17" xfId="0" applyNumberFormat="1" applyFont="1" applyFill="1" applyBorder="1" applyAlignment="1">
      <alignment horizontal="right" indent="1"/>
    </xf>
    <xf numFmtId="37" fontId="88" fillId="0" borderId="0" xfId="0" applyNumberFormat="1" applyFont="1" applyFill="1" applyBorder="1" applyAlignment="1">
      <alignment/>
    </xf>
    <xf numFmtId="37" fontId="19" fillId="0" borderId="0" xfId="0" applyNumberFormat="1" applyFont="1" applyFill="1" applyAlignment="1" quotePrefix="1">
      <alignment horizontal="right"/>
    </xf>
    <xf numFmtId="37" fontId="11" fillId="0" borderId="0" xfId="64" applyNumberFormat="1" applyFont="1" applyFill="1" applyAlignment="1">
      <alignment horizontal="left" wrapText="1"/>
      <protection/>
    </xf>
    <xf numFmtId="37" fontId="26" fillId="0" borderId="0" xfId="64" applyNumberFormat="1" applyFont="1" applyFill="1" applyBorder="1" applyAlignment="1">
      <alignment horizontal="center"/>
      <protection/>
    </xf>
    <xf numFmtId="37" fontId="10" fillId="33" borderId="0" xfId="0" applyNumberFormat="1" applyFont="1" applyFill="1" applyAlignment="1">
      <alignment horizontal="center"/>
    </xf>
    <xf numFmtId="37" fontId="10" fillId="33" borderId="0" xfId="0" applyNumberFormat="1" applyFont="1" applyFill="1" applyBorder="1" applyAlignment="1">
      <alignment horizontal="center"/>
    </xf>
    <xf numFmtId="37" fontId="5" fillId="33" borderId="0" xfId="0" applyNumberFormat="1" applyFont="1" applyFill="1" applyAlignment="1">
      <alignment horizontal="center"/>
    </xf>
    <xf numFmtId="37" fontId="0" fillId="33" borderId="0" xfId="0" applyNumberFormat="1" applyFont="1" applyFill="1" applyBorder="1" applyAlignment="1">
      <alignment horizontal="center" wrapText="1"/>
    </xf>
    <xf numFmtId="37" fontId="12" fillId="33" borderId="0" xfId="0" applyNumberFormat="1" applyFont="1" applyFill="1" applyBorder="1" applyAlignment="1">
      <alignment horizontal="center" wrapText="1"/>
    </xf>
    <xf numFmtId="5" fontId="11" fillId="33" borderId="0" xfId="0" applyNumberFormat="1" applyFont="1" applyFill="1" applyBorder="1" applyAlignment="1">
      <alignment/>
    </xf>
    <xf numFmtId="37" fontId="11" fillId="33" borderId="0" xfId="0" applyNumberFormat="1" applyFont="1" applyFill="1" applyBorder="1" applyAlignment="1">
      <alignment/>
    </xf>
    <xf numFmtId="5" fontId="11" fillId="33" borderId="11" xfId="0" applyNumberFormat="1" applyFont="1" applyFill="1" applyBorder="1" applyAlignment="1">
      <alignment/>
    </xf>
    <xf numFmtId="5" fontId="11" fillId="33" borderId="12" xfId="0" applyNumberFormat="1" applyFont="1" applyFill="1" applyBorder="1" applyAlignment="1">
      <alignment/>
    </xf>
    <xf numFmtId="0" fontId="94" fillId="0" borderId="0" xfId="68" applyFont="1">
      <alignment/>
      <protection/>
    </xf>
    <xf numFmtId="43" fontId="5" fillId="0" borderId="0" xfId="42" applyFont="1" applyAlignment="1">
      <alignment/>
    </xf>
    <xf numFmtId="166" fontId="5" fillId="0" borderId="0" xfId="42" applyNumberFormat="1" applyFont="1" applyAlignment="1">
      <alignment/>
    </xf>
    <xf numFmtId="37" fontId="15" fillId="0" borderId="0" xfId="64" applyNumberFormat="1" applyFont="1" applyFill="1" applyBorder="1" applyAlignment="1">
      <alignment horizontal="center" wrapText="1"/>
      <protection/>
    </xf>
    <xf numFmtId="37" fontId="26" fillId="0" borderId="18" xfId="64" applyNumberFormat="1" applyFont="1" applyFill="1" applyBorder="1" applyAlignment="1">
      <alignment horizontal="center"/>
      <protection/>
    </xf>
    <xf numFmtId="37" fontId="11" fillId="0" borderId="0" xfId="64" applyNumberFormat="1" applyFont="1" applyFill="1" applyAlignment="1">
      <alignment horizontal="left" wrapText="1"/>
      <protection/>
    </xf>
    <xf numFmtId="37" fontId="26" fillId="0" borderId="0" xfId="64" applyNumberFormat="1" applyFont="1" applyFill="1" applyBorder="1" applyAlignment="1">
      <alignment horizontal="center" wrapText="1"/>
      <protection/>
    </xf>
    <xf numFmtId="37" fontId="95" fillId="0" borderId="0" xfId="0" applyNumberFormat="1" applyFont="1" applyFill="1" applyAlignment="1">
      <alignment/>
    </xf>
    <xf numFmtId="37" fontId="26" fillId="0" borderId="0" xfId="64" applyNumberFormat="1" applyFont="1" applyFill="1">
      <alignment/>
      <protection/>
    </xf>
    <xf numFmtId="37" fontId="22" fillId="0" borderId="0" xfId="64" applyNumberFormat="1" applyFont="1" applyFill="1" applyBorder="1" applyAlignment="1">
      <alignment horizontal="center" wrapText="1"/>
      <protection/>
    </xf>
    <xf numFmtId="37" fontId="11" fillId="0" borderId="0" xfId="64" applyNumberFormat="1" applyFont="1" applyFill="1" applyBorder="1" applyAlignment="1">
      <alignment horizontal="center" wrapText="1"/>
      <protection/>
    </xf>
    <xf numFmtId="37" fontId="17" fillId="0" borderId="0" xfId="64" applyNumberFormat="1" applyFont="1" applyFill="1" applyAlignment="1">
      <alignment horizontal="center"/>
      <protection/>
    </xf>
    <xf numFmtId="37" fontId="11" fillId="0" borderId="11" xfId="64" applyNumberFormat="1" applyFont="1" applyFill="1" applyBorder="1">
      <alignment/>
      <protection/>
    </xf>
    <xf numFmtId="37" fontId="11" fillId="0" borderId="12" xfId="64" applyNumberFormat="1" applyFont="1" applyFill="1" applyBorder="1">
      <alignment/>
      <protection/>
    </xf>
    <xf numFmtId="37" fontId="11" fillId="0" borderId="0" xfId="64" applyNumberFormat="1" applyFont="1" applyFill="1" applyAlignment="1">
      <alignment horizontal="left" wrapText="1"/>
      <protection/>
    </xf>
    <xf numFmtId="37" fontId="11" fillId="0" borderId="0" xfId="64" applyNumberFormat="1" applyFont="1" applyFill="1" applyAlignment="1">
      <alignment horizontal="left" vertical="top"/>
      <protection/>
    </xf>
    <xf numFmtId="37" fontId="72" fillId="0" borderId="0" xfId="64" applyNumberFormat="1" applyFont="1" applyFill="1" applyBorder="1" applyAlignment="1">
      <alignment horizontal="left"/>
      <protection/>
    </xf>
    <xf numFmtId="37" fontId="96" fillId="0" borderId="0" xfId="64" applyNumberFormat="1" applyFont="1" applyFill="1" applyBorder="1" applyAlignment="1">
      <alignment horizontal="left" vertical="top"/>
      <protection/>
    </xf>
    <xf numFmtId="37" fontId="85" fillId="0" borderId="0" xfId="64" applyNumberFormat="1" applyFont="1" applyFill="1">
      <alignment/>
      <protection/>
    </xf>
    <xf numFmtId="37" fontId="88" fillId="0" borderId="0" xfId="64" applyNumberFormat="1" applyFont="1" applyFill="1">
      <alignment/>
      <protection/>
    </xf>
    <xf numFmtId="37" fontId="88" fillId="0" borderId="0" xfId="0" applyNumberFormat="1" applyFont="1" applyFill="1" applyAlignment="1">
      <alignment horizontal="left" vertical="top" wrapText="1"/>
    </xf>
    <xf numFmtId="37" fontId="97" fillId="0" borderId="0" xfId="64" applyNumberFormat="1" applyFont="1" applyFill="1" quotePrefix="1">
      <alignment/>
      <protection/>
    </xf>
    <xf numFmtId="37" fontId="0" fillId="0" borderId="10" xfId="0" applyNumberFormat="1" applyFont="1" applyFill="1" applyBorder="1" applyAlignment="1">
      <alignment vertical="center"/>
    </xf>
    <xf numFmtId="37" fontId="15" fillId="0" borderId="0" xfId="64" applyNumberFormat="1" applyFont="1" applyFill="1" applyBorder="1" applyAlignment="1">
      <alignment horizontal="center" wrapText="1"/>
      <protection/>
    </xf>
    <xf numFmtId="37" fontId="85" fillId="0" borderId="0" xfId="0" applyNumberFormat="1" applyFont="1" applyFill="1" applyAlignment="1">
      <alignment/>
    </xf>
    <xf numFmtId="37" fontId="15" fillId="0" borderId="0" xfId="64" applyNumberFormat="1" applyFont="1" applyFill="1" applyBorder="1" applyAlignment="1">
      <alignment horizontal="center" wrapText="1"/>
      <protection/>
    </xf>
    <xf numFmtId="37" fontId="22" fillId="0" borderId="0" xfId="64" applyNumberFormat="1" applyFont="1" applyFill="1" applyBorder="1" applyAlignment="1">
      <alignment horizontal="center" wrapText="1"/>
      <protection/>
    </xf>
    <xf numFmtId="37" fontId="26" fillId="0" borderId="0" xfId="64" applyNumberFormat="1" applyFont="1" applyFill="1" applyBorder="1">
      <alignment/>
      <protection/>
    </xf>
    <xf numFmtId="37" fontId="26" fillId="0" borderId="0" xfId="64" applyNumberFormat="1" applyFont="1" applyFill="1" applyAlignment="1">
      <alignment horizontal="center" wrapText="1"/>
      <protection/>
    </xf>
    <xf numFmtId="37" fontId="11" fillId="0" borderId="0" xfId="64" applyNumberFormat="1" applyFont="1" applyFill="1" applyBorder="1" applyAlignment="1">
      <alignment horizontal="left" wrapText="1"/>
      <protection/>
    </xf>
    <xf numFmtId="167" fontId="4" fillId="0" borderId="0" xfId="68" applyNumberFormat="1" applyFont="1" applyBorder="1" applyAlignment="1">
      <alignment horizontal="right" wrapText="1"/>
      <protection/>
    </xf>
    <xf numFmtId="0" fontId="91" fillId="0" borderId="0" xfId="69" applyFont="1" applyBorder="1">
      <alignment/>
      <protection/>
    </xf>
    <xf numFmtId="0" fontId="88" fillId="0" borderId="0" xfId="69" applyFont="1" applyBorder="1">
      <alignment/>
      <protection/>
    </xf>
    <xf numFmtId="0" fontId="98" fillId="0" borderId="0" xfId="69" applyFont="1" applyBorder="1">
      <alignment/>
      <protection/>
    </xf>
    <xf numFmtId="0" fontId="88" fillId="0" borderId="0" xfId="69" applyFont="1">
      <alignment/>
      <protection/>
    </xf>
    <xf numFmtId="37" fontId="4" fillId="0" borderId="0" xfId="65" applyNumberFormat="1" applyFont="1" applyFill="1" applyBorder="1" applyAlignment="1">
      <alignment horizontal="center" vertical="center"/>
      <protection/>
    </xf>
    <xf numFmtId="0" fontId="88" fillId="0" borderId="10" xfId="69" applyFont="1" applyBorder="1">
      <alignment/>
      <protection/>
    </xf>
    <xf numFmtId="0" fontId="88" fillId="0" borderId="19" xfId="69" applyFont="1" applyBorder="1" applyAlignment="1">
      <alignment horizontal="center"/>
      <protection/>
    </xf>
    <xf numFmtId="0" fontId="88" fillId="0" borderId="20" xfId="69" applyFont="1" applyBorder="1" applyAlignment="1">
      <alignment horizontal="center" wrapText="1"/>
      <protection/>
    </xf>
    <xf numFmtId="0" fontId="88" fillId="0" borderId="21" xfId="69" applyFont="1" applyBorder="1" applyAlignment="1">
      <alignment horizontal="center" wrapText="1"/>
      <protection/>
    </xf>
    <xf numFmtId="0" fontId="88" fillId="0" borderId="22" xfId="69" applyFont="1" applyBorder="1" applyAlignment="1">
      <alignment horizontal="center" wrapText="1"/>
      <protection/>
    </xf>
    <xf numFmtId="0" fontId="88" fillId="0" borderId="23" xfId="69" applyFont="1" applyBorder="1" applyAlignment="1">
      <alignment horizontal="center" wrapText="1"/>
      <protection/>
    </xf>
    <xf numFmtId="0" fontId="88" fillId="0" borderId="24" xfId="69" applyFont="1" applyBorder="1" applyAlignment="1">
      <alignment horizontal="center" wrapText="1"/>
      <protection/>
    </xf>
    <xf numFmtId="0" fontId="88" fillId="0" borderId="0" xfId="69" applyFont="1" applyAlignment="1">
      <alignment horizontal="center" wrapText="1"/>
      <protection/>
    </xf>
    <xf numFmtId="0" fontId="88" fillId="0" borderId="25" xfId="69" applyFont="1" applyBorder="1" applyAlignment="1">
      <alignment horizontal="center" wrapText="1"/>
      <protection/>
    </xf>
    <xf numFmtId="0" fontId="88" fillId="0" borderId="26" xfId="69" applyFont="1" applyBorder="1" applyAlignment="1">
      <alignment horizontal="center" wrapText="1"/>
      <protection/>
    </xf>
    <xf numFmtId="0" fontId="88" fillId="0" borderId="0" xfId="69" applyFont="1" applyBorder="1" applyAlignment="1">
      <alignment horizontal="center" wrapText="1"/>
      <protection/>
    </xf>
    <xf numFmtId="0" fontId="88" fillId="0" borderId="27" xfId="69" applyFont="1" applyBorder="1" applyAlignment="1">
      <alignment horizontal="center" wrapText="1"/>
      <protection/>
    </xf>
    <xf numFmtId="37" fontId="17" fillId="0" borderId="0" xfId="65" applyNumberFormat="1" applyFont="1" applyFill="1" applyAlignment="1">
      <alignment horizontal="center"/>
      <protection/>
    </xf>
    <xf numFmtId="37" fontId="17" fillId="0" borderId="0" xfId="65" applyNumberFormat="1" applyFont="1" applyFill="1" applyAlignment="1" quotePrefix="1">
      <alignment horizontal="center"/>
      <protection/>
    </xf>
    <xf numFmtId="0" fontId="99" fillId="0" borderId="25" xfId="69" applyFont="1" applyBorder="1" applyAlignment="1">
      <alignment horizontal="center" wrapText="1"/>
      <protection/>
    </xf>
    <xf numFmtId="5" fontId="11" fillId="0" borderId="25" xfId="69" applyNumberFormat="1" applyFont="1" applyBorder="1">
      <alignment/>
      <protection/>
    </xf>
    <xf numFmtId="166" fontId="11" fillId="0" borderId="26" xfId="50" applyNumberFormat="1" applyFont="1" applyBorder="1" applyAlignment="1">
      <alignment/>
    </xf>
    <xf numFmtId="5" fontId="11" fillId="0" borderId="0" xfId="69" applyNumberFormat="1" applyFont="1" applyBorder="1">
      <alignment/>
      <protection/>
    </xf>
    <xf numFmtId="5" fontId="11" fillId="0" borderId="0" xfId="69" applyNumberFormat="1" applyFont="1" applyFill="1" applyBorder="1">
      <alignment/>
      <protection/>
    </xf>
    <xf numFmtId="166" fontId="11" fillId="0" borderId="26" xfId="50" applyNumberFormat="1" applyFont="1" applyFill="1" applyBorder="1" applyAlignment="1">
      <alignment/>
    </xf>
    <xf numFmtId="5" fontId="11" fillId="0" borderId="27" xfId="69" applyNumberFormat="1" applyFont="1" applyBorder="1">
      <alignment/>
      <protection/>
    </xf>
    <xf numFmtId="166" fontId="11" fillId="0" borderId="0" xfId="69" applyNumberFormat="1" applyFont="1" applyBorder="1">
      <alignment/>
      <protection/>
    </xf>
    <xf numFmtId="5" fontId="88" fillId="0" borderId="25" xfId="69" applyNumberFormat="1" applyFont="1" applyBorder="1">
      <alignment/>
      <protection/>
    </xf>
    <xf numFmtId="37" fontId="11" fillId="0" borderId="25" xfId="69" applyNumberFormat="1" applyFont="1" applyBorder="1">
      <alignment/>
      <protection/>
    </xf>
    <xf numFmtId="37" fontId="11" fillId="0" borderId="26" xfId="69" applyNumberFormat="1" applyFont="1" applyBorder="1">
      <alignment/>
      <protection/>
    </xf>
    <xf numFmtId="37" fontId="11" fillId="0" borderId="0" xfId="69" applyNumberFormat="1" applyFont="1" applyBorder="1">
      <alignment/>
      <protection/>
    </xf>
    <xf numFmtId="37" fontId="11" fillId="0" borderId="0" xfId="69" applyNumberFormat="1" applyFont="1" applyFill="1" applyBorder="1">
      <alignment/>
      <protection/>
    </xf>
    <xf numFmtId="37" fontId="11" fillId="0" borderId="26" xfId="69" applyNumberFormat="1" applyFont="1" applyFill="1" applyBorder="1">
      <alignment/>
      <protection/>
    </xf>
    <xf numFmtId="37" fontId="11" fillId="0" borderId="27" xfId="69" applyNumberFormat="1" applyFont="1" applyBorder="1">
      <alignment/>
      <protection/>
    </xf>
    <xf numFmtId="37" fontId="88" fillId="0" borderId="25" xfId="69" applyNumberFormat="1" applyFont="1" applyBorder="1">
      <alignment/>
      <protection/>
    </xf>
    <xf numFmtId="0" fontId="88" fillId="0" borderId="25" xfId="69" applyFont="1" applyBorder="1">
      <alignment/>
      <protection/>
    </xf>
    <xf numFmtId="5" fontId="10" fillId="0" borderId="28" xfId="69" applyNumberFormat="1" applyFont="1" applyBorder="1">
      <alignment/>
      <protection/>
    </xf>
    <xf numFmtId="166" fontId="11" fillId="0" borderId="11" xfId="50" applyNumberFormat="1" applyFont="1" applyFill="1" applyBorder="1" applyAlignment="1">
      <alignment/>
    </xf>
    <xf numFmtId="5" fontId="11" fillId="0" borderId="11" xfId="69" applyNumberFormat="1" applyFont="1" applyBorder="1">
      <alignment/>
      <protection/>
    </xf>
    <xf numFmtId="166" fontId="11" fillId="0" borderId="29" xfId="50" applyNumberFormat="1" applyFont="1" applyFill="1" applyBorder="1" applyAlignment="1">
      <alignment/>
    </xf>
    <xf numFmtId="5" fontId="11" fillId="0" borderId="30" xfId="69" applyNumberFormat="1" applyFont="1" applyBorder="1">
      <alignment/>
      <protection/>
    </xf>
    <xf numFmtId="5" fontId="11" fillId="0" borderId="11" xfId="69" applyNumberFormat="1" applyFont="1" applyFill="1" applyBorder="1">
      <alignment/>
      <protection/>
    </xf>
    <xf numFmtId="5" fontId="88" fillId="0" borderId="28" xfId="69" applyNumberFormat="1" applyFont="1" applyBorder="1">
      <alignment/>
      <protection/>
    </xf>
    <xf numFmtId="5" fontId="10" fillId="0" borderId="25" xfId="69" applyNumberFormat="1" applyFont="1" applyBorder="1">
      <alignment/>
      <protection/>
    </xf>
    <xf numFmtId="166" fontId="11" fillId="0" borderId="0" xfId="50" applyNumberFormat="1" applyFont="1" applyFill="1" applyBorder="1" applyAlignment="1">
      <alignment/>
    </xf>
    <xf numFmtId="37" fontId="11" fillId="0" borderId="0" xfId="50" applyNumberFormat="1" applyFont="1" applyFill="1" applyBorder="1" applyAlignment="1">
      <alignment/>
    </xf>
    <xf numFmtId="37" fontId="11" fillId="0" borderId="26" xfId="50" applyNumberFormat="1" applyFont="1" applyFill="1" applyBorder="1" applyAlignment="1">
      <alignment/>
    </xf>
    <xf numFmtId="5" fontId="10" fillId="0" borderId="31" xfId="69" applyNumberFormat="1" applyFont="1" applyBorder="1">
      <alignment/>
      <protection/>
    </xf>
    <xf numFmtId="166" fontId="10" fillId="0" borderId="12" xfId="50" applyNumberFormat="1" applyFont="1" applyFill="1" applyBorder="1" applyAlignment="1">
      <alignment/>
    </xf>
    <xf numFmtId="5" fontId="10" fillId="0" borderId="12" xfId="69" applyNumberFormat="1" applyFont="1" applyBorder="1">
      <alignment/>
      <protection/>
    </xf>
    <xf numFmtId="5" fontId="10" fillId="0" borderId="12" xfId="69" applyNumberFormat="1" applyFont="1" applyFill="1" applyBorder="1">
      <alignment/>
      <protection/>
    </xf>
    <xf numFmtId="166" fontId="10" fillId="0" borderId="32" xfId="50" applyNumberFormat="1" applyFont="1" applyFill="1" applyBorder="1" applyAlignment="1">
      <alignment/>
    </xf>
    <xf numFmtId="5" fontId="10" fillId="0" borderId="33" xfId="69" applyNumberFormat="1" applyFont="1" applyBorder="1">
      <alignment/>
      <protection/>
    </xf>
    <xf numFmtId="5" fontId="100" fillId="0" borderId="31" xfId="69" applyNumberFormat="1" applyFont="1" applyBorder="1">
      <alignment/>
      <protection/>
    </xf>
    <xf numFmtId="37" fontId="11" fillId="0" borderId="0" xfId="69" applyNumberFormat="1" applyFont="1" applyFill="1" applyBorder="1" applyAlignment="1">
      <alignment vertical="center"/>
      <protection/>
    </xf>
    <xf numFmtId="0" fontId="88" fillId="0" borderId="0" xfId="69" applyFont="1" applyAlignment="1">
      <alignment vertical="center"/>
      <protection/>
    </xf>
    <xf numFmtId="168" fontId="88" fillId="0" borderId="0" xfId="54" applyNumberFormat="1" applyFont="1" applyAlignment="1">
      <alignment vertical="center"/>
    </xf>
    <xf numFmtId="168" fontId="88" fillId="0" borderId="18" xfId="54" applyNumberFormat="1" applyFont="1" applyBorder="1" applyAlignment="1">
      <alignment vertical="center"/>
    </xf>
    <xf numFmtId="168" fontId="88" fillId="0" borderId="0" xfId="69" applyNumberFormat="1" applyFont="1" applyAlignment="1">
      <alignment vertical="center"/>
      <protection/>
    </xf>
    <xf numFmtId="37" fontId="0" fillId="0" borderId="10" xfId="0" applyNumberFormat="1" applyFont="1" applyFill="1" applyBorder="1" applyAlignment="1">
      <alignment horizontal="center" wrapText="1"/>
    </xf>
    <xf numFmtId="0" fontId="101" fillId="0" borderId="22" xfId="69" applyFont="1" applyBorder="1" applyAlignment="1">
      <alignment horizontal="center" wrapText="1"/>
      <protection/>
    </xf>
    <xf numFmtId="37" fontId="47" fillId="0" borderId="0" xfId="69" applyNumberFormat="1" applyFont="1" applyFill="1" applyBorder="1">
      <alignment/>
      <protection/>
    </xf>
    <xf numFmtId="0" fontId="102" fillId="0" borderId="0" xfId="69" applyFont="1">
      <alignment/>
      <protection/>
    </xf>
    <xf numFmtId="0" fontId="22" fillId="0" borderId="0" xfId="69" applyFont="1">
      <alignment/>
      <protection/>
    </xf>
    <xf numFmtId="37" fontId="2" fillId="0" borderId="3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 quotePrefix="1">
      <alignment horizontal="center" vertical="center"/>
    </xf>
    <xf numFmtId="37" fontId="11" fillId="0" borderId="0" xfId="0" applyNumberFormat="1" applyFont="1" applyFill="1" applyAlignment="1">
      <alignment horizontal="left" vertical="top" wrapText="1"/>
    </xf>
    <xf numFmtId="37" fontId="42" fillId="0" borderId="0" xfId="64" applyNumberFormat="1" applyFont="1" applyFill="1" applyAlignment="1">
      <alignment horizontal="left" vertical="top" wrapText="1"/>
      <protection/>
    </xf>
    <xf numFmtId="37" fontId="15" fillId="0" borderId="0" xfId="64" applyNumberFormat="1" applyFont="1" applyFill="1" applyBorder="1" applyAlignment="1">
      <alignment horizontal="center" wrapText="1"/>
      <protection/>
    </xf>
    <xf numFmtId="37" fontId="26" fillId="0" borderId="18" xfId="64" applyNumberFormat="1" applyFont="1" applyFill="1" applyBorder="1" applyAlignment="1">
      <alignment horizontal="center"/>
      <protection/>
    </xf>
    <xf numFmtId="37" fontId="22" fillId="0" borderId="0" xfId="64" applyNumberFormat="1" applyFont="1" applyFill="1" applyBorder="1" applyAlignment="1">
      <alignment horizontal="center" wrapText="1"/>
      <protection/>
    </xf>
    <xf numFmtId="37" fontId="26" fillId="0" borderId="0" xfId="64" applyNumberFormat="1" applyFont="1" applyFill="1" applyBorder="1" applyAlignment="1">
      <alignment horizontal="center" wrapText="1"/>
      <protection/>
    </xf>
    <xf numFmtId="37" fontId="4" fillId="0" borderId="18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Alignment="1">
      <alignment wrapText="1"/>
      <protection/>
    </xf>
    <xf numFmtId="0" fontId="18" fillId="0" borderId="0" xfId="68" applyAlignment="1">
      <alignment wrapText="1"/>
      <protection/>
    </xf>
    <xf numFmtId="0" fontId="5" fillId="0" borderId="0" xfId="68" applyFont="1" applyAlignment="1">
      <alignment horizontal="left" wrapText="1"/>
      <protection/>
    </xf>
    <xf numFmtId="0" fontId="88" fillId="0" borderId="21" xfId="69" applyFont="1" applyBorder="1" applyAlignment="1">
      <alignment horizontal="center"/>
      <protection/>
    </xf>
    <xf numFmtId="0" fontId="88" fillId="0" borderId="22" xfId="69" applyFont="1" applyBorder="1" applyAlignment="1">
      <alignment horizontal="center"/>
      <protection/>
    </xf>
    <xf numFmtId="0" fontId="88" fillId="0" borderId="23" xfId="69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4 2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F\BUDGET\Budgets\2010-11_Budget\2010-11_SUF_Revenue_Projections\2010-11_SUF_10%incr_GOLD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Summary"/>
      <sheetName val="Revenue Augmentation"/>
      <sheetName val="Enrollment"/>
      <sheetName val="Res Hdct Distn"/>
      <sheetName val="Waivers"/>
      <sheetName val="SUF Calc Res"/>
      <sheetName val="SUF Calc NRT"/>
      <sheetName val="07-08 MIX"/>
    </sheetNames>
    <sheetDataSet>
      <sheetData sheetId="1">
        <row r="7">
          <cell r="O7">
            <v>46000</v>
          </cell>
          <cell r="P7">
            <v>54000</v>
          </cell>
        </row>
        <row r="8">
          <cell r="O8">
            <v>1000</v>
          </cell>
          <cell r="P8">
            <v>1000</v>
          </cell>
        </row>
        <row r="9">
          <cell r="O9">
            <v>-237000</v>
          </cell>
          <cell r="P9">
            <v>-287000</v>
          </cell>
        </row>
        <row r="10">
          <cell r="O10">
            <v>-44000</v>
          </cell>
          <cell r="P10">
            <v>-52000</v>
          </cell>
        </row>
        <row r="11">
          <cell r="O11">
            <v>711000</v>
          </cell>
          <cell r="P11">
            <v>851000</v>
          </cell>
        </row>
        <row r="12">
          <cell r="O12">
            <v>-226000</v>
          </cell>
          <cell r="P12">
            <v>-264000</v>
          </cell>
        </row>
        <row r="13">
          <cell r="O13">
            <v>-30000</v>
          </cell>
          <cell r="P13">
            <v>-31000</v>
          </cell>
        </row>
        <row r="14">
          <cell r="O14">
            <v>190000</v>
          </cell>
          <cell r="P14">
            <v>227000</v>
          </cell>
        </row>
        <row r="15">
          <cell r="O15">
            <v>-377000</v>
          </cell>
          <cell r="P15">
            <v>-431000</v>
          </cell>
        </row>
        <row r="16">
          <cell r="O16">
            <v>558000</v>
          </cell>
          <cell r="P16">
            <v>645000</v>
          </cell>
        </row>
        <row r="17">
          <cell r="O17">
            <v>-41000</v>
          </cell>
          <cell r="P17">
            <v>-49000</v>
          </cell>
        </row>
        <row r="18">
          <cell r="O18">
            <v>116000</v>
          </cell>
          <cell r="P18">
            <v>140000</v>
          </cell>
        </row>
        <row r="19">
          <cell r="O19">
            <v>611000</v>
          </cell>
          <cell r="P19">
            <v>729000</v>
          </cell>
        </row>
        <row r="20">
          <cell r="O20">
            <v>-4000</v>
          </cell>
          <cell r="P20">
            <v>4000</v>
          </cell>
        </row>
        <row r="21">
          <cell r="O21">
            <v>146000</v>
          </cell>
          <cell r="P21">
            <v>173000</v>
          </cell>
        </row>
        <row r="22">
          <cell r="O22">
            <v>355000</v>
          </cell>
          <cell r="P22">
            <v>424000</v>
          </cell>
        </row>
        <row r="23">
          <cell r="O23">
            <v>685000</v>
          </cell>
          <cell r="P23">
            <v>813000</v>
          </cell>
        </row>
        <row r="24">
          <cell r="O24">
            <v>760000</v>
          </cell>
          <cell r="P24">
            <v>888000</v>
          </cell>
        </row>
        <row r="25">
          <cell r="O25">
            <v>-163000</v>
          </cell>
          <cell r="P25">
            <v>-228000</v>
          </cell>
        </row>
        <row r="26">
          <cell r="O26">
            <v>-35000</v>
          </cell>
          <cell r="P26">
            <v>-40000</v>
          </cell>
        </row>
        <row r="27">
          <cell r="O27">
            <v>-55000</v>
          </cell>
          <cell r="P27">
            <v>-63000</v>
          </cell>
        </row>
        <row r="28">
          <cell r="O28">
            <v>-75000</v>
          </cell>
          <cell r="P28">
            <v>-91000</v>
          </cell>
        </row>
        <row r="29">
          <cell r="O29">
            <v>111000</v>
          </cell>
          <cell r="P29">
            <v>134000</v>
          </cell>
        </row>
        <row r="32">
          <cell r="O32">
            <v>2000</v>
          </cell>
          <cell r="P32">
            <v>2000</v>
          </cell>
        </row>
        <row r="33">
          <cell r="O33">
            <v>18000</v>
          </cell>
          <cell r="P33">
            <v>21000</v>
          </cell>
        </row>
        <row r="34">
          <cell r="O34">
            <v>-6000</v>
          </cell>
          <cell r="P34">
            <v>-7000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2" sqref="K12"/>
    </sheetView>
  </sheetViews>
  <sheetFormatPr defaultColWidth="9.33203125" defaultRowHeight="12.75"/>
  <cols>
    <col min="1" max="1" width="2.33203125" style="1" customWidth="1"/>
    <col min="2" max="2" width="22.33203125" style="1" bestFit="1" customWidth="1"/>
    <col min="3" max="4" width="14.83203125" style="1" customWidth="1"/>
    <col min="5" max="5" width="15" style="1" bestFit="1" customWidth="1"/>
    <col min="6" max="6" width="14.66015625" style="1" customWidth="1"/>
    <col min="7" max="7" width="7" style="8" customWidth="1"/>
    <col min="8" max="8" width="2.83203125" style="8" customWidth="1"/>
    <col min="9" max="9" width="16.33203125" style="1" bestFit="1" customWidth="1"/>
    <col min="10" max="10" width="2.83203125" style="1" customWidth="1"/>
    <col min="11" max="11" width="16.16015625" style="1" bestFit="1" customWidth="1"/>
    <col min="12" max="12" width="2.83203125" style="1" customWidth="1"/>
    <col min="13" max="13" width="6.83203125" style="8" customWidth="1"/>
    <col min="14" max="15" width="15" style="1" bestFit="1" customWidth="1"/>
    <col min="16" max="16" width="13.66015625" style="1" customWidth="1"/>
    <col min="17" max="17" width="15" style="1" bestFit="1" customWidth="1"/>
    <col min="18" max="18" width="9.33203125" style="1" customWidth="1"/>
    <col min="19" max="20" width="15" style="1" bestFit="1" customWidth="1"/>
    <col min="21" max="21" width="14" style="1" bestFit="1" customWidth="1"/>
    <col min="22" max="16384" width="9.33203125" style="1" customWidth="1"/>
  </cols>
  <sheetData>
    <row r="1" spans="2:16" ht="18" customHeight="1">
      <c r="B1" s="142" t="s">
        <v>48</v>
      </c>
      <c r="P1" s="148" t="s">
        <v>118</v>
      </c>
    </row>
    <row r="2" ht="16.5" customHeight="1">
      <c r="B2" s="167"/>
    </row>
    <row r="3" spans="2:17" s="46" customFormat="1" ht="18" customHeight="1" thickBot="1">
      <c r="B3" s="45"/>
      <c r="C3" s="3">
        <v>-1</v>
      </c>
      <c r="D3" s="3">
        <v>-2</v>
      </c>
      <c r="E3" s="3">
        <v>-3</v>
      </c>
      <c r="F3" s="3">
        <v>-4</v>
      </c>
      <c r="G3" s="53"/>
      <c r="H3" s="182"/>
      <c r="I3" s="3">
        <v>-5</v>
      </c>
      <c r="J3" s="3"/>
      <c r="K3" s="3">
        <v>-6</v>
      </c>
      <c r="L3" s="3"/>
      <c r="M3" s="5"/>
      <c r="N3" s="3">
        <v>-7</v>
      </c>
      <c r="O3" s="3">
        <v>-8</v>
      </c>
      <c r="P3" s="3">
        <v>-9</v>
      </c>
      <c r="Q3" s="3">
        <v>-10</v>
      </c>
    </row>
    <row r="4" spans="3:17" s="4" customFormat="1" ht="18" customHeight="1">
      <c r="C4" s="255" t="s">
        <v>43</v>
      </c>
      <c r="D4" s="255"/>
      <c r="E4" s="255"/>
      <c r="F4" s="255"/>
      <c r="G4" s="54"/>
      <c r="H4" s="257" t="s">
        <v>63</v>
      </c>
      <c r="I4" s="257"/>
      <c r="J4" s="257"/>
      <c r="K4" s="257"/>
      <c r="L4" s="257"/>
      <c r="M4" s="54"/>
      <c r="N4" s="255" t="s">
        <v>46</v>
      </c>
      <c r="O4" s="255"/>
      <c r="P4" s="255"/>
      <c r="Q4" s="255"/>
    </row>
    <row r="5" spans="3:17" s="4" customFormat="1" ht="12.75">
      <c r="C5" s="5"/>
      <c r="D5" s="5"/>
      <c r="E5" s="5"/>
      <c r="F5" s="5"/>
      <c r="G5" s="54"/>
      <c r="H5" s="54"/>
      <c r="I5" s="256"/>
      <c r="J5" s="256"/>
      <c r="K5" s="256"/>
      <c r="L5" s="256"/>
      <c r="M5" s="54"/>
      <c r="N5" s="5"/>
      <c r="O5" s="5"/>
      <c r="P5" s="5"/>
      <c r="Q5" s="5"/>
    </row>
    <row r="6" spans="2:17" s="15" customFormat="1" ht="57" customHeight="1" thickBot="1">
      <c r="B6" s="14"/>
      <c r="C6" s="42" t="s">
        <v>44</v>
      </c>
      <c r="D6" s="14" t="s">
        <v>30</v>
      </c>
      <c r="E6" s="14" t="s">
        <v>31</v>
      </c>
      <c r="F6" s="14" t="s">
        <v>28</v>
      </c>
      <c r="G6" s="35"/>
      <c r="H6" s="35"/>
      <c r="I6" s="42" t="s">
        <v>58</v>
      </c>
      <c r="J6" s="42"/>
      <c r="K6" s="42" t="s">
        <v>69</v>
      </c>
      <c r="L6" s="42"/>
      <c r="M6" s="35"/>
      <c r="N6" s="42" t="s">
        <v>34</v>
      </c>
      <c r="O6" s="250" t="s">
        <v>97</v>
      </c>
      <c r="P6" s="14" t="s">
        <v>62</v>
      </c>
      <c r="Q6" s="14" t="s">
        <v>42</v>
      </c>
    </row>
    <row r="7" spans="2:17" s="6" customFormat="1" ht="12.75">
      <c r="B7" s="16"/>
      <c r="C7" s="16"/>
      <c r="D7" s="16"/>
      <c r="E7" s="16"/>
      <c r="F7" s="17" t="s">
        <v>45</v>
      </c>
      <c r="G7" s="16"/>
      <c r="H7" s="16"/>
      <c r="I7" s="18" t="s">
        <v>65</v>
      </c>
      <c r="J7" s="18"/>
      <c r="K7" s="18" t="s">
        <v>70</v>
      </c>
      <c r="L7" s="18"/>
      <c r="M7" s="16"/>
      <c r="N7" s="19" t="s">
        <v>78</v>
      </c>
      <c r="O7" s="62" t="s">
        <v>64</v>
      </c>
      <c r="P7" s="62" t="s">
        <v>47</v>
      </c>
      <c r="Q7" s="17" t="s">
        <v>77</v>
      </c>
    </row>
    <row r="8" ht="9" customHeight="1"/>
    <row r="9" spans="2:19" s="7" customFormat="1" ht="12.75">
      <c r="B9" s="9" t="s">
        <v>0</v>
      </c>
      <c r="C9" s="28">
        <v>49859822</v>
      </c>
      <c r="D9" s="75">
        <v>28947000</v>
      </c>
      <c r="E9" s="10">
        <v>3030000</v>
      </c>
      <c r="F9" s="7">
        <f>SUM(C9:E9)</f>
        <v>81836822</v>
      </c>
      <c r="G9" s="9"/>
      <c r="H9" s="9"/>
      <c r="I9" s="7">
        <f>'(B) Base Bud Adj'!S8</f>
        <v>1091910</v>
      </c>
      <c r="M9" s="9"/>
      <c r="N9" s="7">
        <f aca="true" t="shared" si="0" ref="N9:N31">C9+I9</f>
        <v>50951732</v>
      </c>
      <c r="O9" s="7">
        <f>D9</f>
        <v>28947000</v>
      </c>
      <c r="P9" s="7">
        <f>E9</f>
        <v>3030000</v>
      </c>
      <c r="Q9" s="7">
        <f>SUM(N9:P9)</f>
        <v>82928732</v>
      </c>
      <c r="S9" s="1"/>
    </row>
    <row r="10" spans="2:17" ht="12.75">
      <c r="B10" s="8" t="s">
        <v>1</v>
      </c>
      <c r="C10" s="27">
        <v>38120853</v>
      </c>
      <c r="D10" s="74">
        <v>13044000</v>
      </c>
      <c r="E10" s="11">
        <v>1349000</v>
      </c>
      <c r="F10" s="1">
        <f>SUM(C10:E10)</f>
        <v>52513853</v>
      </c>
      <c r="I10" s="1">
        <f>'(B) Base Bud Adj'!S9</f>
        <v>2596347</v>
      </c>
      <c r="N10" s="1">
        <f>C10+I10</f>
        <v>40717200</v>
      </c>
      <c r="O10" s="1">
        <f>D10</f>
        <v>13044000</v>
      </c>
      <c r="P10" s="1">
        <f>E10</f>
        <v>1349000</v>
      </c>
      <c r="Q10" s="1">
        <f>SUM(N10:P10)</f>
        <v>55110200</v>
      </c>
    </row>
    <row r="11" spans="2:17" ht="12.75">
      <c r="B11" s="8" t="s">
        <v>2</v>
      </c>
      <c r="C11" s="27">
        <v>90188102</v>
      </c>
      <c r="D11" s="74">
        <v>61237000</v>
      </c>
      <c r="E11" s="11">
        <v>9051000</v>
      </c>
      <c r="F11" s="1">
        <f aca="true" t="shared" si="1" ref="F11:F31">SUM(C11:E11)</f>
        <v>160476102</v>
      </c>
      <c r="I11" s="1">
        <f>'(B) Base Bud Adj'!S10</f>
        <v>1075090</v>
      </c>
      <c r="N11" s="1">
        <f t="shared" si="0"/>
        <v>91263192</v>
      </c>
      <c r="O11" s="1">
        <f aca="true" t="shared" si="2" ref="O11:O31">D11</f>
        <v>61237000</v>
      </c>
      <c r="P11" s="1">
        <f aca="true" t="shared" si="3" ref="P11:P31">E11</f>
        <v>9051000</v>
      </c>
      <c r="Q11" s="1">
        <f aca="true" t="shared" si="4" ref="Q11:Q31">SUM(N11:P11)</f>
        <v>161551192</v>
      </c>
    </row>
    <row r="12" spans="2:17" ht="12.75">
      <c r="B12" s="8" t="s">
        <v>3</v>
      </c>
      <c r="C12" s="27">
        <v>61273282</v>
      </c>
      <c r="D12" s="74">
        <v>46276000</v>
      </c>
      <c r="E12" s="11">
        <v>3184000</v>
      </c>
      <c r="F12" s="1">
        <f t="shared" si="1"/>
        <v>110733282</v>
      </c>
      <c r="I12" s="1">
        <f>'(B) Base Bud Adj'!S11</f>
        <v>533950</v>
      </c>
      <c r="N12" s="1">
        <f t="shared" si="0"/>
        <v>61807232</v>
      </c>
      <c r="O12" s="1">
        <f t="shared" si="2"/>
        <v>46276000</v>
      </c>
      <c r="P12" s="1">
        <f t="shared" si="3"/>
        <v>3184000</v>
      </c>
      <c r="Q12" s="1">
        <f t="shared" si="4"/>
        <v>111267232</v>
      </c>
    </row>
    <row r="13" spans="2:17" ht="12.75">
      <c r="B13" s="8" t="s">
        <v>29</v>
      </c>
      <c r="C13" s="27">
        <v>67857621</v>
      </c>
      <c r="D13" s="74">
        <v>57544000</v>
      </c>
      <c r="E13" s="11">
        <v>14182000</v>
      </c>
      <c r="F13" s="1">
        <f t="shared" si="1"/>
        <v>139583621</v>
      </c>
      <c r="I13" s="1">
        <f>'(B) Base Bud Adj'!S12</f>
        <v>322890</v>
      </c>
      <c r="N13" s="1">
        <f t="shared" si="0"/>
        <v>68180511</v>
      </c>
      <c r="O13" s="1">
        <f t="shared" si="2"/>
        <v>57544000</v>
      </c>
      <c r="P13" s="1">
        <f t="shared" si="3"/>
        <v>14182000</v>
      </c>
      <c r="Q13" s="1">
        <f t="shared" si="4"/>
        <v>139906511</v>
      </c>
    </row>
    <row r="14" spans="2:17" ht="12.75">
      <c r="B14" s="8" t="s">
        <v>4</v>
      </c>
      <c r="C14" s="27">
        <v>118055402</v>
      </c>
      <c r="D14" s="74">
        <v>82740000</v>
      </c>
      <c r="E14" s="11">
        <v>11119000</v>
      </c>
      <c r="F14" s="1">
        <f t="shared" si="1"/>
        <v>211914402</v>
      </c>
      <c r="I14" s="1">
        <f>'(B) Base Bud Adj'!S13</f>
        <v>1983850</v>
      </c>
      <c r="N14" s="1">
        <f t="shared" si="0"/>
        <v>120039252</v>
      </c>
      <c r="O14" s="1">
        <f t="shared" si="2"/>
        <v>82740000</v>
      </c>
      <c r="P14" s="1">
        <f t="shared" si="3"/>
        <v>11119000</v>
      </c>
      <c r="Q14" s="1">
        <f t="shared" si="4"/>
        <v>213898252</v>
      </c>
    </row>
    <row r="15" spans="2:17" ht="12.75">
      <c r="B15" s="8" t="s">
        <v>5</v>
      </c>
      <c r="C15" s="27">
        <v>136371537</v>
      </c>
      <c r="D15" s="74">
        <v>135897000</v>
      </c>
      <c r="E15" s="11">
        <v>21642000</v>
      </c>
      <c r="F15" s="1">
        <f t="shared" si="1"/>
        <v>293910537</v>
      </c>
      <c r="I15" s="1">
        <f>'(B) Base Bud Adj'!S14</f>
        <v>-4970950</v>
      </c>
      <c r="N15" s="1">
        <f t="shared" si="0"/>
        <v>131400587</v>
      </c>
      <c r="O15" s="1">
        <f t="shared" si="2"/>
        <v>135897000</v>
      </c>
      <c r="P15" s="1">
        <f t="shared" si="3"/>
        <v>21642000</v>
      </c>
      <c r="Q15" s="1">
        <f t="shared" si="4"/>
        <v>288939587</v>
      </c>
    </row>
    <row r="16" spans="2:17" ht="12.75">
      <c r="B16" s="8" t="s">
        <v>6</v>
      </c>
      <c r="C16" s="27">
        <v>62436110</v>
      </c>
      <c r="D16" s="74">
        <v>28900000</v>
      </c>
      <c r="E16" s="11">
        <v>5686000</v>
      </c>
      <c r="F16" s="1">
        <f t="shared" si="1"/>
        <v>97022110</v>
      </c>
      <c r="I16" s="1">
        <f>'(B) Base Bud Adj'!S15</f>
        <v>2451990</v>
      </c>
      <c r="N16" s="1">
        <f t="shared" si="0"/>
        <v>64888100</v>
      </c>
      <c r="O16" s="1">
        <f t="shared" si="2"/>
        <v>28900000</v>
      </c>
      <c r="P16" s="1">
        <f t="shared" si="3"/>
        <v>5686000</v>
      </c>
      <c r="Q16" s="1">
        <f t="shared" si="4"/>
        <v>99474100</v>
      </c>
    </row>
    <row r="17" spans="2:17" ht="12.75">
      <c r="B17" s="8" t="s">
        <v>7</v>
      </c>
      <c r="C17" s="27">
        <v>154573278</v>
      </c>
      <c r="D17" s="74">
        <v>137219000</v>
      </c>
      <c r="E17" s="11">
        <v>24400000</v>
      </c>
      <c r="F17" s="1">
        <f t="shared" si="1"/>
        <v>316192278</v>
      </c>
      <c r="I17" s="1">
        <f>'(B) Base Bud Adj'!S16</f>
        <v>-3275700</v>
      </c>
      <c r="N17" s="1">
        <f t="shared" si="0"/>
        <v>151297578</v>
      </c>
      <c r="O17" s="1">
        <f t="shared" si="2"/>
        <v>137219000</v>
      </c>
      <c r="P17" s="1">
        <f t="shared" si="3"/>
        <v>24400000</v>
      </c>
      <c r="Q17" s="1">
        <f t="shared" si="4"/>
        <v>312916578</v>
      </c>
    </row>
    <row r="18" spans="2:17" ht="12.75">
      <c r="B18" s="8" t="s">
        <v>8</v>
      </c>
      <c r="C18" s="27">
        <v>103587079</v>
      </c>
      <c r="D18" s="74">
        <v>81910000</v>
      </c>
      <c r="E18" s="11">
        <v>10818000</v>
      </c>
      <c r="F18" s="1">
        <f t="shared" si="1"/>
        <v>196315079</v>
      </c>
      <c r="I18" s="1">
        <f>'(B) Base Bud Adj'!S17</f>
        <v>877200</v>
      </c>
      <c r="N18" s="1">
        <f t="shared" si="0"/>
        <v>104464279</v>
      </c>
      <c r="O18" s="1">
        <f t="shared" si="2"/>
        <v>81910000</v>
      </c>
      <c r="P18" s="1">
        <f t="shared" si="3"/>
        <v>10818000</v>
      </c>
      <c r="Q18" s="1">
        <f t="shared" si="4"/>
        <v>197192279</v>
      </c>
    </row>
    <row r="19" spans="2:17" ht="12.75">
      <c r="B19" s="8" t="s">
        <v>9</v>
      </c>
      <c r="C19" s="27">
        <v>16472011</v>
      </c>
      <c r="D19" s="74">
        <v>2814000</v>
      </c>
      <c r="E19" s="11">
        <v>3317000</v>
      </c>
      <c r="F19" s="1">
        <f t="shared" si="1"/>
        <v>22603011</v>
      </c>
      <c r="I19" s="1">
        <f>'(B) Base Bud Adj'!S18</f>
        <v>1275110</v>
      </c>
      <c r="N19" s="1">
        <f t="shared" si="0"/>
        <v>17747121</v>
      </c>
      <c r="O19" s="1">
        <f t="shared" si="2"/>
        <v>2814000</v>
      </c>
      <c r="P19" s="1">
        <f t="shared" si="3"/>
        <v>3317000</v>
      </c>
      <c r="Q19" s="1">
        <f t="shared" si="4"/>
        <v>23878121</v>
      </c>
    </row>
    <row r="20" spans="2:17" ht="12.75">
      <c r="B20" s="8" t="s">
        <v>10</v>
      </c>
      <c r="C20" s="27">
        <v>46061803</v>
      </c>
      <c r="D20" s="74">
        <v>14692000</v>
      </c>
      <c r="E20" s="11">
        <v>2099000</v>
      </c>
      <c r="F20" s="1">
        <f t="shared" si="1"/>
        <v>62852803</v>
      </c>
      <c r="I20" s="1">
        <f>'(B) Base Bud Adj'!S19</f>
        <v>2682320</v>
      </c>
      <c r="N20" s="1">
        <f t="shared" si="0"/>
        <v>48744123</v>
      </c>
      <c r="O20" s="1">
        <f t="shared" si="2"/>
        <v>14692000</v>
      </c>
      <c r="P20" s="1">
        <f t="shared" si="3"/>
        <v>2099000</v>
      </c>
      <c r="Q20" s="1">
        <f t="shared" si="4"/>
        <v>65535123</v>
      </c>
    </row>
    <row r="21" spans="2:17" ht="12.75">
      <c r="B21" s="8" t="s">
        <v>11</v>
      </c>
      <c r="C21" s="27">
        <v>148718316</v>
      </c>
      <c r="D21" s="74">
        <v>127788000</v>
      </c>
      <c r="E21" s="11">
        <v>26955000</v>
      </c>
      <c r="F21" s="1">
        <f t="shared" si="1"/>
        <v>303461316</v>
      </c>
      <c r="I21" s="1">
        <f>'(B) Base Bud Adj'!S20</f>
        <v>-2165600</v>
      </c>
      <c r="N21" s="1">
        <f t="shared" si="0"/>
        <v>146552716</v>
      </c>
      <c r="O21" s="1">
        <f t="shared" si="2"/>
        <v>127788000</v>
      </c>
      <c r="P21" s="1">
        <f t="shared" si="3"/>
        <v>26955000</v>
      </c>
      <c r="Q21" s="1">
        <f t="shared" si="4"/>
        <v>301295716</v>
      </c>
    </row>
    <row r="22" spans="2:17" ht="12.75">
      <c r="B22" s="8" t="s">
        <v>12</v>
      </c>
      <c r="C22" s="27">
        <v>110101122</v>
      </c>
      <c r="D22" s="74">
        <v>75416000</v>
      </c>
      <c r="E22" s="11">
        <v>10617000</v>
      </c>
      <c r="F22" s="1">
        <f t="shared" si="1"/>
        <v>196134122</v>
      </c>
      <c r="I22" s="1">
        <f>'(B) Base Bud Adj'!S21</f>
        <v>1405460</v>
      </c>
      <c r="N22" s="1">
        <f t="shared" si="0"/>
        <v>111506582</v>
      </c>
      <c r="O22" s="1">
        <f t="shared" si="2"/>
        <v>75416000</v>
      </c>
      <c r="P22" s="1">
        <f t="shared" si="3"/>
        <v>10617000</v>
      </c>
      <c r="Q22" s="1">
        <f t="shared" si="4"/>
        <v>197539582</v>
      </c>
    </row>
    <row r="23" spans="2:17" ht="12.75">
      <c r="B23" s="8" t="s">
        <v>13</v>
      </c>
      <c r="C23" s="27">
        <v>126087817</v>
      </c>
      <c r="D23" s="74">
        <v>103083000</v>
      </c>
      <c r="E23" s="11">
        <v>14624000</v>
      </c>
      <c r="F23" s="1">
        <f t="shared" si="1"/>
        <v>243794817</v>
      </c>
      <c r="I23" s="1">
        <f>'(B) Base Bud Adj'!S22</f>
        <v>-2822670</v>
      </c>
      <c r="N23" s="1">
        <f t="shared" si="0"/>
        <v>123265147</v>
      </c>
      <c r="O23" s="1">
        <f t="shared" si="2"/>
        <v>103083000</v>
      </c>
      <c r="P23" s="1">
        <f t="shared" si="3"/>
        <v>14624000</v>
      </c>
      <c r="Q23" s="1">
        <f t="shared" si="4"/>
        <v>240972147</v>
      </c>
    </row>
    <row r="24" spans="2:17" ht="12.75">
      <c r="B24" s="8" t="s">
        <v>14</v>
      </c>
      <c r="C24" s="27">
        <v>83133458</v>
      </c>
      <c r="D24" s="74">
        <v>66950000</v>
      </c>
      <c r="E24" s="11">
        <v>10780000</v>
      </c>
      <c r="F24" s="1">
        <f t="shared" si="1"/>
        <v>160863458</v>
      </c>
      <c r="I24" s="1">
        <f>'(B) Base Bud Adj'!S23</f>
        <v>85690</v>
      </c>
      <c r="N24" s="1">
        <f t="shared" si="0"/>
        <v>83219148</v>
      </c>
      <c r="O24" s="1">
        <f t="shared" si="2"/>
        <v>66950000</v>
      </c>
      <c r="P24" s="1">
        <f t="shared" si="3"/>
        <v>10780000</v>
      </c>
      <c r="Q24" s="1">
        <f t="shared" si="4"/>
        <v>160949148</v>
      </c>
    </row>
    <row r="25" spans="2:17" ht="12.75">
      <c r="B25" s="8" t="s">
        <v>15</v>
      </c>
      <c r="C25" s="27">
        <v>166107116</v>
      </c>
      <c r="D25" s="74">
        <v>127796000</v>
      </c>
      <c r="E25" s="11">
        <v>30932000</v>
      </c>
      <c r="F25" s="1">
        <f t="shared" si="1"/>
        <v>324835116</v>
      </c>
      <c r="I25" s="1">
        <f>'(B) Base Bud Adj'!S24</f>
        <v>-1774130</v>
      </c>
      <c r="N25" s="1">
        <f t="shared" si="0"/>
        <v>164332986</v>
      </c>
      <c r="O25" s="1">
        <f t="shared" si="2"/>
        <v>127796000</v>
      </c>
      <c r="P25" s="1">
        <f t="shared" si="3"/>
        <v>30932000</v>
      </c>
      <c r="Q25" s="1">
        <f t="shared" si="4"/>
        <v>323060986</v>
      </c>
    </row>
    <row r="26" spans="2:17" ht="12.75">
      <c r="B26" s="8" t="s">
        <v>16</v>
      </c>
      <c r="C26" s="27">
        <v>128676149</v>
      </c>
      <c r="D26" s="74">
        <v>113220000</v>
      </c>
      <c r="E26" s="11">
        <v>28331000</v>
      </c>
      <c r="F26" s="1">
        <f t="shared" si="1"/>
        <v>270227149</v>
      </c>
      <c r="I26" s="1">
        <f>'(B) Base Bud Adj'!S25</f>
        <v>-2738810</v>
      </c>
      <c r="N26" s="1">
        <f t="shared" si="0"/>
        <v>125937339</v>
      </c>
      <c r="O26" s="1">
        <f t="shared" si="2"/>
        <v>113220000</v>
      </c>
      <c r="P26" s="1">
        <f t="shared" si="3"/>
        <v>28331000</v>
      </c>
      <c r="Q26" s="1">
        <f t="shared" si="4"/>
        <v>267488339</v>
      </c>
    </row>
    <row r="27" spans="2:17" ht="12.75">
      <c r="B27" s="8" t="s">
        <v>17</v>
      </c>
      <c r="C27" s="27">
        <v>125111472</v>
      </c>
      <c r="D27" s="74">
        <v>116660000</v>
      </c>
      <c r="E27" s="11">
        <v>23868000</v>
      </c>
      <c r="F27" s="1">
        <f t="shared" si="1"/>
        <v>265639472</v>
      </c>
      <c r="I27" s="1">
        <f>'(B) Base Bud Adj'!S26</f>
        <v>-2134640</v>
      </c>
      <c r="N27" s="1">
        <f t="shared" si="0"/>
        <v>122976832</v>
      </c>
      <c r="O27" s="1">
        <f t="shared" si="2"/>
        <v>116660000</v>
      </c>
      <c r="P27" s="1">
        <f t="shared" si="3"/>
        <v>23868000</v>
      </c>
      <c r="Q27" s="1">
        <f t="shared" si="4"/>
        <v>263504832</v>
      </c>
    </row>
    <row r="28" spans="2:17" ht="12.75">
      <c r="B28" s="8" t="s">
        <v>18</v>
      </c>
      <c r="C28" s="27">
        <v>110289288</v>
      </c>
      <c r="D28" s="74">
        <v>73930000</v>
      </c>
      <c r="E28" s="11">
        <v>29945000</v>
      </c>
      <c r="F28" s="1">
        <f t="shared" si="1"/>
        <v>214164288</v>
      </c>
      <c r="I28" s="1">
        <f>'(B) Base Bud Adj'!S27</f>
        <v>2058620</v>
      </c>
      <c r="N28" s="1">
        <f t="shared" si="0"/>
        <v>112347908</v>
      </c>
      <c r="O28" s="1">
        <f t="shared" si="2"/>
        <v>73930000</v>
      </c>
      <c r="P28" s="1">
        <f t="shared" si="3"/>
        <v>29945000</v>
      </c>
      <c r="Q28" s="1">
        <f t="shared" si="4"/>
        <v>216222908</v>
      </c>
    </row>
    <row r="29" spans="2:17" ht="12.75">
      <c r="B29" s="8" t="s">
        <v>19</v>
      </c>
      <c r="C29" s="27">
        <v>53536642</v>
      </c>
      <c r="D29" s="74">
        <v>33333000</v>
      </c>
      <c r="E29" s="11">
        <v>4670000</v>
      </c>
      <c r="F29" s="1">
        <f t="shared" si="1"/>
        <v>91539642</v>
      </c>
      <c r="I29" s="1">
        <f>'(B) Base Bud Adj'!S28</f>
        <v>1356020</v>
      </c>
      <c r="N29" s="1">
        <f t="shared" si="0"/>
        <v>54892662</v>
      </c>
      <c r="O29" s="1">
        <f t="shared" si="2"/>
        <v>33333000</v>
      </c>
      <c r="P29" s="1">
        <f t="shared" si="3"/>
        <v>4670000</v>
      </c>
      <c r="Q29" s="1">
        <f t="shared" si="4"/>
        <v>92895662</v>
      </c>
    </row>
    <row r="30" spans="2:17" ht="12.75">
      <c r="B30" s="8" t="s">
        <v>20</v>
      </c>
      <c r="C30" s="27">
        <v>51085673</v>
      </c>
      <c r="D30" s="74">
        <v>30537000</v>
      </c>
      <c r="E30" s="11">
        <v>4051000</v>
      </c>
      <c r="F30" s="1">
        <f t="shared" si="1"/>
        <v>85673673</v>
      </c>
      <c r="I30" s="1">
        <f>'(B) Base Bud Adj'!S29</f>
        <v>917030</v>
      </c>
      <c r="N30" s="1">
        <f t="shared" si="0"/>
        <v>52002703</v>
      </c>
      <c r="O30" s="1">
        <f t="shared" si="2"/>
        <v>30537000</v>
      </c>
      <c r="P30" s="1">
        <f>E30</f>
        <v>4051000</v>
      </c>
      <c r="Q30" s="1">
        <f t="shared" si="4"/>
        <v>86590703</v>
      </c>
    </row>
    <row r="31" spans="2:17" ht="12.75">
      <c r="B31" s="8" t="s">
        <v>21</v>
      </c>
      <c r="C31" s="27">
        <v>51346837</v>
      </c>
      <c r="D31" s="74">
        <v>31164000</v>
      </c>
      <c r="E31" s="11">
        <v>3567000</v>
      </c>
      <c r="F31" s="1">
        <f t="shared" si="1"/>
        <v>86077837</v>
      </c>
      <c r="I31" s="1">
        <f>'(B) Base Bud Adj'!S30</f>
        <v>1122770</v>
      </c>
      <c r="N31" s="1">
        <f t="shared" si="0"/>
        <v>52469607</v>
      </c>
      <c r="O31" s="1">
        <f t="shared" si="2"/>
        <v>31164000</v>
      </c>
      <c r="P31" s="1">
        <f t="shared" si="3"/>
        <v>3567000</v>
      </c>
      <c r="Q31" s="1">
        <f t="shared" si="4"/>
        <v>87200607</v>
      </c>
    </row>
    <row r="32" ht="9" customHeight="1"/>
    <row r="33" spans="2:21" s="7" customFormat="1" ht="15" customHeight="1">
      <c r="B33" s="12" t="s">
        <v>22</v>
      </c>
      <c r="C33" s="12">
        <v>2099050790</v>
      </c>
      <c r="D33" s="12">
        <f>SUM(D9:D32)</f>
        <v>1591097000</v>
      </c>
      <c r="E33" s="12">
        <f>SUM(E9:E31)</f>
        <v>298217000</v>
      </c>
      <c r="F33" s="12">
        <f>SUM(F9:F32)</f>
        <v>3988364790</v>
      </c>
      <c r="G33" s="9"/>
      <c r="H33" s="9"/>
      <c r="I33" s="12">
        <f>SUM(I9:I32)</f>
        <v>1953747</v>
      </c>
      <c r="J33" s="12"/>
      <c r="K33" s="12"/>
      <c r="L33" s="12"/>
      <c r="M33" s="9"/>
      <c r="N33" s="12">
        <f>SUM(N9:N32)</f>
        <v>2101004537</v>
      </c>
      <c r="O33" s="12">
        <f>SUM(O9:O32)</f>
        <v>1591097000</v>
      </c>
      <c r="P33" s="12">
        <f>SUM(P9:P32)</f>
        <v>298217000</v>
      </c>
      <c r="Q33" s="12">
        <f>SUM(Q9:Q32)</f>
        <v>3990318537</v>
      </c>
      <c r="S33" s="1"/>
      <c r="T33" s="1"/>
      <c r="U33" s="1"/>
    </row>
    <row r="34" ht="9" customHeight="1"/>
    <row r="35" spans="2:17" ht="12.75" customHeight="1">
      <c r="B35" s="1" t="s">
        <v>23</v>
      </c>
      <c r="C35" s="1">
        <v>67011227</v>
      </c>
      <c r="D35" s="1">
        <v>0</v>
      </c>
      <c r="E35" s="1">
        <v>0</v>
      </c>
      <c r="F35" s="1">
        <f>SUM(C35:E35)</f>
        <v>67011227</v>
      </c>
      <c r="I35" s="1">
        <f>'(B) Base Bud Adj'!S34</f>
        <v>5943998</v>
      </c>
      <c r="N35" s="1">
        <f>C35+I35</f>
        <v>72955225</v>
      </c>
      <c r="O35" s="1">
        <f>D35</f>
        <v>0</v>
      </c>
      <c r="P35" s="1">
        <f>E35</f>
        <v>0</v>
      </c>
      <c r="Q35" s="1">
        <f>SUM(N35:P35)</f>
        <v>72955225</v>
      </c>
    </row>
    <row r="36" spans="2:17" ht="12.75" customHeight="1">
      <c r="B36" s="11" t="s">
        <v>32</v>
      </c>
      <c r="C36" s="1">
        <v>1244735</v>
      </c>
      <c r="D36" s="1">
        <v>0</v>
      </c>
      <c r="E36" s="1">
        <v>0</v>
      </c>
      <c r="F36" s="1">
        <f>SUM(C36:E36)</f>
        <v>1244735</v>
      </c>
      <c r="I36" s="1">
        <f>'(B) Base Bud Adj'!S35</f>
        <v>0</v>
      </c>
      <c r="N36" s="1">
        <f>C36+I36</f>
        <v>1244735</v>
      </c>
      <c r="O36" s="1">
        <f>D36</f>
        <v>0</v>
      </c>
      <c r="P36" s="1">
        <f>E36</f>
        <v>0</v>
      </c>
      <c r="Q36" s="1">
        <f>SUM(N36:P36)</f>
        <v>1244735</v>
      </c>
    </row>
    <row r="37" spans="2:17" ht="12.75" customHeight="1">
      <c r="B37" s="1" t="s">
        <v>24</v>
      </c>
      <c r="C37" s="1">
        <v>2476496</v>
      </c>
      <c r="D37" s="20">
        <v>2324000</v>
      </c>
      <c r="E37" s="1">
        <v>0</v>
      </c>
      <c r="F37" s="1">
        <f>SUM(C37:E37)</f>
        <v>4800496</v>
      </c>
      <c r="I37" s="1">
        <f>'(B) Base Bud Adj'!S36</f>
        <v>0</v>
      </c>
      <c r="N37" s="1">
        <f>C37+I37</f>
        <v>2476496</v>
      </c>
      <c r="O37" s="1">
        <f>D37</f>
        <v>2324000</v>
      </c>
      <c r="P37" s="1">
        <f>E37</f>
        <v>0</v>
      </c>
      <c r="Q37" s="1">
        <f>SUM(N37:P37)</f>
        <v>4800496</v>
      </c>
    </row>
    <row r="38" spans="2:17" ht="12.75" customHeight="1">
      <c r="B38" s="1" t="s">
        <v>25</v>
      </c>
      <c r="C38" s="1">
        <v>98800</v>
      </c>
      <c r="D38" s="1">
        <v>0</v>
      </c>
      <c r="E38" s="1">
        <v>0</v>
      </c>
      <c r="F38" s="1">
        <f>SUM(C38:E38)</f>
        <v>98800</v>
      </c>
      <c r="I38" s="1">
        <f>'(B) Base Bud Adj'!S37</f>
        <v>0</v>
      </c>
      <c r="N38" s="1">
        <f>C38+I38</f>
        <v>98800</v>
      </c>
      <c r="O38" s="1">
        <f>D38</f>
        <v>0</v>
      </c>
      <c r="P38" s="1">
        <f>E38</f>
        <v>0</v>
      </c>
      <c r="Q38" s="1">
        <f>SUM(N38:P38)</f>
        <v>98800</v>
      </c>
    </row>
    <row r="39" spans="2:17" ht="12.75" customHeight="1">
      <c r="B39" s="1" t="s">
        <v>26</v>
      </c>
      <c r="C39" s="1">
        <v>168069601</v>
      </c>
      <c r="D39" s="1">
        <v>0</v>
      </c>
      <c r="E39" s="1">
        <v>2126000</v>
      </c>
      <c r="F39" s="1">
        <f>SUM(C39:E39)</f>
        <v>170195601</v>
      </c>
      <c r="I39" s="1">
        <f>'(B) Base Bud Adj'!S38</f>
        <v>12032762</v>
      </c>
      <c r="K39" s="1">
        <f>'(C) 10-11 Mand Costs-GF Increas'!O38</f>
        <v>365552000</v>
      </c>
      <c r="M39" s="73"/>
      <c r="N39" s="1">
        <f>C39+I39+K39</f>
        <v>545654363</v>
      </c>
      <c r="O39" s="1">
        <f>D39</f>
        <v>0</v>
      </c>
      <c r="P39" s="184">
        <v>1000</v>
      </c>
      <c r="Q39" s="1">
        <f>SUM(N39:P39)</f>
        <v>545655363</v>
      </c>
    </row>
    <row r="40" ht="9" customHeight="1"/>
    <row r="41" spans="2:17" s="7" customFormat="1" ht="15" customHeight="1" thickBot="1">
      <c r="B41" s="13" t="s">
        <v>27</v>
      </c>
      <c r="C41" s="13">
        <v>2337951649</v>
      </c>
      <c r="D41" s="13">
        <f>SUM(D33:D39)</f>
        <v>1593421000</v>
      </c>
      <c r="E41" s="13">
        <f>SUM(E33:E39)</f>
        <v>300343000</v>
      </c>
      <c r="F41" s="13">
        <f>SUM(F33:F39)</f>
        <v>4231715649</v>
      </c>
      <c r="G41" s="9"/>
      <c r="H41" s="9"/>
      <c r="I41" s="21">
        <f>SUM(I33:I39)</f>
        <v>19930507</v>
      </c>
      <c r="J41" s="21"/>
      <c r="K41" s="21">
        <f>SUM(K33:K39)</f>
        <v>365552000</v>
      </c>
      <c r="L41" s="21"/>
      <c r="M41" s="9"/>
      <c r="N41" s="13">
        <f>SUM(N33:N39)</f>
        <v>2723434156</v>
      </c>
      <c r="O41" s="13">
        <f>SUM(O33:O39)</f>
        <v>1593421000</v>
      </c>
      <c r="P41" s="13">
        <f>SUM(P33:P39)</f>
        <v>298218000</v>
      </c>
      <c r="Q41" s="13">
        <f>SUM(Q33:Q39)</f>
        <v>4615073156</v>
      </c>
    </row>
    <row r="43" spans="1:2" ht="18">
      <c r="A43" s="63">
        <v>1</v>
      </c>
      <c r="B43" s="47" t="s">
        <v>96</v>
      </c>
    </row>
    <row r="44" spans="1:17" ht="18">
      <c r="A44" s="63">
        <v>2</v>
      </c>
      <c r="B44" s="31" t="s">
        <v>95</v>
      </c>
      <c r="C44" s="29"/>
      <c r="D44" s="29"/>
      <c r="E44" s="29"/>
      <c r="F44" s="29"/>
      <c r="G44" s="64"/>
      <c r="H44" s="64"/>
      <c r="I44" s="65"/>
      <c r="J44" s="65"/>
      <c r="K44" s="65"/>
      <c r="L44" s="65"/>
      <c r="M44" s="64"/>
      <c r="N44" s="29"/>
      <c r="O44" s="29"/>
      <c r="P44" s="29"/>
      <c r="Q44" s="29"/>
    </row>
    <row r="45" spans="3:17" ht="18" customHeight="1"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50" ht="12.75">
      <c r="N50" s="121"/>
    </row>
  </sheetData>
  <sheetProtection/>
  <mergeCells count="4">
    <mergeCell ref="C4:F4"/>
    <mergeCell ref="N4:Q4"/>
    <mergeCell ref="I5:L5"/>
    <mergeCell ref="H4:L4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33203125" defaultRowHeight="12.75"/>
  <cols>
    <col min="1" max="1" width="24.5" style="1" customWidth="1"/>
    <col min="2" max="2" width="16.5" style="1" bestFit="1" customWidth="1"/>
    <col min="3" max="3" width="1.83203125" style="1" customWidth="1"/>
    <col min="4" max="4" width="13.33203125" style="23" bestFit="1" customWidth="1"/>
    <col min="5" max="5" width="1.83203125" style="23" customWidth="1"/>
    <col min="6" max="6" width="17.83203125" style="23" customWidth="1"/>
    <col min="7" max="7" width="1.83203125" style="23" customWidth="1"/>
    <col min="8" max="8" width="16.5" style="23" customWidth="1"/>
    <col min="9" max="9" width="1.83203125" style="23" customWidth="1"/>
    <col min="10" max="10" width="16.5" style="23" customWidth="1"/>
    <col min="11" max="11" width="1.83203125" style="23" customWidth="1"/>
    <col min="12" max="12" width="16.5" style="23" customWidth="1"/>
    <col min="13" max="13" width="2.33203125" style="23" customWidth="1"/>
    <col min="14" max="14" width="16.5" style="23" bestFit="1" customWidth="1"/>
    <col min="15" max="15" width="2.33203125" style="23" customWidth="1"/>
    <col min="16" max="16" width="13.33203125" style="23" bestFit="1" customWidth="1"/>
    <col min="17" max="17" width="2.33203125" style="23" customWidth="1"/>
    <col min="18" max="18" width="1.83203125" style="23" customWidth="1"/>
    <col min="19" max="19" width="17.16015625" style="1" bestFit="1" customWidth="1"/>
    <col min="20" max="20" width="1.83203125" style="1" customWidth="1"/>
    <col min="21" max="21" width="18.83203125" style="1" bestFit="1" customWidth="1"/>
    <col min="22" max="22" width="4.33203125" style="1" customWidth="1"/>
    <col min="23" max="23" width="14.5" style="8" bestFit="1" customWidth="1"/>
    <col min="24" max="16384" width="9.33203125" style="1" customWidth="1"/>
  </cols>
  <sheetData>
    <row r="1" spans="1:18" ht="16.5">
      <c r="A1" s="61" t="s">
        <v>117</v>
      </c>
      <c r="B1" s="2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80"/>
    </row>
    <row r="2" spans="1:18" ht="15.75">
      <c r="A2" s="167"/>
      <c r="B2" s="2"/>
      <c r="C2" s="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80"/>
    </row>
    <row r="3" spans="2:23" s="66" customFormat="1" ht="14.25">
      <c r="B3" s="67">
        <f>-1</f>
        <v>-1</v>
      </c>
      <c r="D3" s="67">
        <v>-2</v>
      </c>
      <c r="E3" s="67"/>
      <c r="F3" s="67">
        <v>-3</v>
      </c>
      <c r="G3" s="67"/>
      <c r="H3" s="151">
        <f>-4</f>
        <v>-4</v>
      </c>
      <c r="I3" s="151"/>
      <c r="J3" s="152">
        <f>-5</f>
        <v>-5</v>
      </c>
      <c r="K3" s="67"/>
      <c r="L3" s="68">
        <v>-6</v>
      </c>
      <c r="N3" s="67">
        <f>-7</f>
        <v>-7</v>
      </c>
      <c r="O3" s="67"/>
      <c r="P3" s="67">
        <v>-8</v>
      </c>
      <c r="Q3" s="67"/>
      <c r="R3" s="67"/>
      <c r="S3" s="67">
        <f>-9</f>
        <v>-9</v>
      </c>
      <c r="T3" s="67"/>
      <c r="U3" s="67">
        <v>-10</v>
      </c>
      <c r="W3" s="118"/>
    </row>
    <row r="4" spans="2:23" s="24" customFormat="1" ht="6" customHeight="1">
      <c r="B4" s="30"/>
      <c r="D4" s="30"/>
      <c r="E4" s="30"/>
      <c r="F4" s="30"/>
      <c r="G4" s="30"/>
      <c r="H4" s="153"/>
      <c r="I4" s="153"/>
      <c r="J4" s="153"/>
      <c r="K4" s="25"/>
      <c r="L4" s="25"/>
      <c r="M4" s="30"/>
      <c r="N4" s="30"/>
      <c r="O4" s="30"/>
      <c r="P4" s="30"/>
      <c r="Q4" s="30"/>
      <c r="R4" s="30"/>
      <c r="S4" s="81"/>
      <c r="U4" s="25"/>
      <c r="W4" s="81"/>
    </row>
    <row r="5" spans="1:23" s="15" customFormat="1" ht="76.5">
      <c r="A5" s="35"/>
      <c r="B5" s="26" t="s">
        <v>50</v>
      </c>
      <c r="C5" s="35"/>
      <c r="D5" s="26" t="s">
        <v>49</v>
      </c>
      <c r="E5" s="35"/>
      <c r="F5" s="36" t="s">
        <v>33</v>
      </c>
      <c r="G5" s="41"/>
      <c r="H5" s="154" t="s">
        <v>81</v>
      </c>
      <c r="I5" s="154"/>
      <c r="J5" s="154" t="s">
        <v>82</v>
      </c>
      <c r="K5" s="26"/>
      <c r="L5" s="26" t="s">
        <v>55</v>
      </c>
      <c r="M5" s="32"/>
      <c r="N5" s="36" t="s">
        <v>79</v>
      </c>
      <c r="O5" s="41"/>
      <c r="P5" s="26" t="s">
        <v>57</v>
      </c>
      <c r="Q5" s="32">
        <v>1</v>
      </c>
      <c r="R5" s="69"/>
      <c r="S5" s="145" t="s">
        <v>53</v>
      </c>
      <c r="T5" s="35"/>
      <c r="U5" s="145" t="s">
        <v>56</v>
      </c>
      <c r="W5" s="35"/>
    </row>
    <row r="6" spans="1:21" ht="12.75" customHeight="1">
      <c r="A6" s="37"/>
      <c r="B6" s="37"/>
      <c r="C6" s="37"/>
      <c r="D6" s="38"/>
      <c r="E6" s="38"/>
      <c r="F6" s="33" t="s">
        <v>80</v>
      </c>
      <c r="G6" s="39"/>
      <c r="H6" s="155"/>
      <c r="I6" s="155"/>
      <c r="J6" s="155"/>
      <c r="K6" s="39"/>
      <c r="L6" s="39" t="s">
        <v>51</v>
      </c>
      <c r="M6" s="39"/>
      <c r="N6" s="33" t="s">
        <v>52</v>
      </c>
      <c r="O6" s="39"/>
      <c r="P6" s="38"/>
      <c r="Q6" s="39"/>
      <c r="R6" s="144"/>
      <c r="S6" s="33" t="s">
        <v>83</v>
      </c>
      <c r="T6" s="37"/>
      <c r="U6" s="33" t="s">
        <v>61</v>
      </c>
    </row>
    <row r="7" spans="1:21" ht="13.5" customHeight="1">
      <c r="A7" s="37"/>
      <c r="B7" s="37"/>
      <c r="C7" s="37"/>
      <c r="D7" s="38"/>
      <c r="E7" s="38"/>
      <c r="F7" s="33"/>
      <c r="G7" s="39"/>
      <c r="H7" s="155"/>
      <c r="I7" s="155"/>
      <c r="J7" s="155"/>
      <c r="K7" s="39"/>
      <c r="L7" s="39"/>
      <c r="M7" s="39"/>
      <c r="N7" s="33"/>
      <c r="O7" s="39"/>
      <c r="P7" s="38"/>
      <c r="Q7" s="39"/>
      <c r="R7" s="144"/>
      <c r="S7" s="40"/>
      <c r="T7" s="37"/>
      <c r="U7" s="40"/>
    </row>
    <row r="8" spans="1:23" s="56" customFormat="1" ht="15">
      <c r="A8" s="56" t="s">
        <v>0</v>
      </c>
      <c r="B8" s="51">
        <v>49859822</v>
      </c>
      <c r="C8" s="51"/>
      <c r="D8" s="49">
        <v>135510</v>
      </c>
      <c r="E8" s="51"/>
      <c r="F8" s="57">
        <f aca="true" t="shared" si="0" ref="F8:F30">B8+D8</f>
        <v>49995332</v>
      </c>
      <c r="G8" s="49"/>
      <c r="H8" s="156">
        <v>-10788900</v>
      </c>
      <c r="I8" s="156"/>
      <c r="J8" s="156">
        <v>-9832500</v>
      </c>
      <c r="K8" s="49"/>
      <c r="L8" s="49">
        <f>J8-H8</f>
        <v>956400</v>
      </c>
      <c r="M8" s="49"/>
      <c r="N8" s="57">
        <f>F8+L8</f>
        <v>50951732</v>
      </c>
      <c r="O8" s="49"/>
      <c r="Q8" s="49"/>
      <c r="R8" s="49"/>
      <c r="S8" s="70">
        <f>D8+L8+P8</f>
        <v>1091910</v>
      </c>
      <c r="T8" s="51"/>
      <c r="U8" s="57">
        <f>B8+S8</f>
        <v>50951732</v>
      </c>
      <c r="W8" s="119"/>
    </row>
    <row r="9" spans="1:23" s="31" customFormat="1" ht="15">
      <c r="A9" s="31" t="s">
        <v>1</v>
      </c>
      <c r="B9" s="47">
        <v>38120853</v>
      </c>
      <c r="C9" s="47"/>
      <c r="D9" s="76">
        <v>101947</v>
      </c>
      <c r="E9" s="47"/>
      <c r="F9" s="58">
        <f t="shared" si="0"/>
        <v>38222800</v>
      </c>
      <c r="G9" s="50"/>
      <c r="H9" s="157">
        <v>-4450200</v>
      </c>
      <c r="I9" s="157"/>
      <c r="J9" s="157">
        <v>-1955800</v>
      </c>
      <c r="K9" s="50"/>
      <c r="L9" s="50">
        <f>J9-H9</f>
        <v>2494400</v>
      </c>
      <c r="M9" s="50"/>
      <c r="N9" s="58">
        <f>F9+L9</f>
        <v>40717200</v>
      </c>
      <c r="O9" s="50"/>
      <c r="Q9" s="50"/>
      <c r="R9" s="50"/>
      <c r="S9" s="71">
        <f>D9+L9+P9</f>
        <v>2596347</v>
      </c>
      <c r="T9" s="47"/>
      <c r="U9" s="58">
        <f aca="true" t="shared" si="1" ref="U9:U30">B9+S9</f>
        <v>40717200</v>
      </c>
      <c r="W9" s="119"/>
    </row>
    <row r="10" spans="1:23" s="31" customFormat="1" ht="15">
      <c r="A10" s="31" t="s">
        <v>2</v>
      </c>
      <c r="B10" s="47">
        <v>90188102</v>
      </c>
      <c r="C10" s="47"/>
      <c r="D10" s="76">
        <v>296290</v>
      </c>
      <c r="E10" s="47"/>
      <c r="F10" s="58">
        <f>B10+D10</f>
        <v>90484392</v>
      </c>
      <c r="G10" s="50"/>
      <c r="H10" s="157">
        <v>-25568800</v>
      </c>
      <c r="I10" s="157"/>
      <c r="J10" s="157">
        <v>-24790000</v>
      </c>
      <c r="K10" s="50"/>
      <c r="L10" s="50">
        <f aca="true" t="shared" si="2" ref="L10:L30">J10-H10</f>
        <v>778800</v>
      </c>
      <c r="M10" s="50"/>
      <c r="N10" s="58">
        <f aca="true" t="shared" si="3" ref="N10:N30">F10+L10</f>
        <v>91263192</v>
      </c>
      <c r="O10" s="50"/>
      <c r="Q10" s="50"/>
      <c r="R10" s="50"/>
      <c r="S10" s="71">
        <f aca="true" t="shared" si="4" ref="S10:S30">D10+L10+P10</f>
        <v>1075090</v>
      </c>
      <c r="T10" s="47"/>
      <c r="U10" s="58">
        <f t="shared" si="1"/>
        <v>91263192</v>
      </c>
      <c r="W10" s="119"/>
    </row>
    <row r="11" spans="1:23" s="31" customFormat="1" ht="15">
      <c r="A11" s="31" t="s">
        <v>3</v>
      </c>
      <c r="B11" s="47">
        <v>61273282</v>
      </c>
      <c r="C11" s="47"/>
      <c r="D11" s="76">
        <v>177050</v>
      </c>
      <c r="E11" s="47"/>
      <c r="F11" s="58">
        <f t="shared" si="0"/>
        <v>61450332</v>
      </c>
      <c r="G11" s="50"/>
      <c r="H11" s="157">
        <v>-13035000</v>
      </c>
      <c r="I11" s="157"/>
      <c r="J11" s="157">
        <v>-12678100</v>
      </c>
      <c r="K11" s="50"/>
      <c r="L11" s="50">
        <f t="shared" si="2"/>
        <v>356900</v>
      </c>
      <c r="M11" s="50"/>
      <c r="N11" s="58">
        <f t="shared" si="3"/>
        <v>61807232</v>
      </c>
      <c r="O11" s="50"/>
      <c r="Q11" s="50"/>
      <c r="R11" s="50"/>
      <c r="S11" s="71">
        <f t="shared" si="4"/>
        <v>533950</v>
      </c>
      <c r="T11" s="47"/>
      <c r="U11" s="58">
        <f t="shared" si="1"/>
        <v>61807232</v>
      </c>
      <c r="W11" s="119"/>
    </row>
    <row r="12" spans="1:23" s="31" customFormat="1" ht="15">
      <c r="A12" s="31" t="s">
        <v>29</v>
      </c>
      <c r="B12" s="47">
        <v>67857621</v>
      </c>
      <c r="C12" s="47"/>
      <c r="D12" s="76">
        <v>261790</v>
      </c>
      <c r="E12" s="47"/>
      <c r="F12" s="58">
        <f t="shared" si="0"/>
        <v>68119411</v>
      </c>
      <c r="G12" s="50"/>
      <c r="H12" s="157">
        <v>-19623100</v>
      </c>
      <c r="I12" s="157"/>
      <c r="J12" s="157">
        <v>-19562000</v>
      </c>
      <c r="K12" s="50"/>
      <c r="L12" s="50">
        <f t="shared" si="2"/>
        <v>61100</v>
      </c>
      <c r="M12" s="50"/>
      <c r="N12" s="58">
        <f t="shared" si="3"/>
        <v>68180511</v>
      </c>
      <c r="O12" s="50"/>
      <c r="Q12" s="50"/>
      <c r="R12" s="50"/>
      <c r="S12" s="71">
        <f t="shared" si="4"/>
        <v>322890</v>
      </c>
      <c r="T12" s="47"/>
      <c r="U12" s="58">
        <f t="shared" si="1"/>
        <v>68180511</v>
      </c>
      <c r="W12" s="119"/>
    </row>
    <row r="13" spans="1:23" s="31" customFormat="1" ht="15">
      <c r="A13" s="31" t="s">
        <v>4</v>
      </c>
      <c r="B13" s="47">
        <v>118055402</v>
      </c>
      <c r="C13" s="47"/>
      <c r="D13" s="76">
        <v>366250</v>
      </c>
      <c r="E13" s="47"/>
      <c r="F13" s="58">
        <f t="shared" si="0"/>
        <v>118421652</v>
      </c>
      <c r="G13" s="50"/>
      <c r="H13" s="157">
        <v>-32636200</v>
      </c>
      <c r="I13" s="157"/>
      <c r="J13" s="157">
        <v>-31018600</v>
      </c>
      <c r="K13" s="50"/>
      <c r="L13" s="50">
        <f t="shared" si="2"/>
        <v>1617600</v>
      </c>
      <c r="M13" s="50"/>
      <c r="N13" s="58">
        <f t="shared" si="3"/>
        <v>120039252</v>
      </c>
      <c r="O13" s="50"/>
      <c r="Q13" s="50"/>
      <c r="R13" s="50"/>
      <c r="S13" s="71">
        <f t="shared" si="4"/>
        <v>1983850</v>
      </c>
      <c r="T13" s="47"/>
      <c r="U13" s="58">
        <f t="shared" si="1"/>
        <v>120039252</v>
      </c>
      <c r="W13" s="119"/>
    </row>
    <row r="14" spans="1:23" s="31" customFormat="1" ht="15">
      <c r="A14" s="31" t="s">
        <v>5</v>
      </c>
      <c r="B14" s="47">
        <v>136371537</v>
      </c>
      <c r="C14" s="47"/>
      <c r="D14" s="76">
        <v>484950</v>
      </c>
      <c r="E14" s="47"/>
      <c r="F14" s="58">
        <f t="shared" si="0"/>
        <v>136856487</v>
      </c>
      <c r="G14" s="50"/>
      <c r="H14" s="157">
        <v>-38803800</v>
      </c>
      <c r="I14" s="157"/>
      <c r="J14" s="157">
        <v>-44259700</v>
      </c>
      <c r="K14" s="50"/>
      <c r="L14" s="50">
        <f t="shared" si="2"/>
        <v>-5455900</v>
      </c>
      <c r="M14" s="50"/>
      <c r="N14" s="58">
        <f t="shared" si="3"/>
        <v>131400587</v>
      </c>
      <c r="O14" s="50"/>
      <c r="Q14" s="50"/>
      <c r="R14" s="50"/>
      <c r="S14" s="71">
        <f t="shared" si="4"/>
        <v>-4970950</v>
      </c>
      <c r="T14" s="47"/>
      <c r="U14" s="58">
        <f t="shared" si="1"/>
        <v>131400587</v>
      </c>
      <c r="W14" s="119"/>
    </row>
    <row r="15" spans="1:23" s="31" customFormat="1" ht="15">
      <c r="A15" s="31" t="s">
        <v>6</v>
      </c>
      <c r="B15" s="47">
        <v>62436110</v>
      </c>
      <c r="C15" s="47"/>
      <c r="D15" s="76">
        <v>179590</v>
      </c>
      <c r="E15" s="47"/>
      <c r="F15" s="58">
        <f t="shared" si="0"/>
        <v>62615700</v>
      </c>
      <c r="G15" s="50"/>
      <c r="H15" s="157">
        <v>-12110600</v>
      </c>
      <c r="I15" s="157"/>
      <c r="J15" s="157">
        <v>-9838200</v>
      </c>
      <c r="K15" s="50"/>
      <c r="L15" s="50">
        <f t="shared" si="2"/>
        <v>2272400</v>
      </c>
      <c r="M15" s="50"/>
      <c r="N15" s="58">
        <f t="shared" si="3"/>
        <v>64888100</v>
      </c>
      <c r="O15" s="50"/>
      <c r="Q15" s="50"/>
      <c r="R15" s="50"/>
      <c r="S15" s="71">
        <f t="shared" si="4"/>
        <v>2451990</v>
      </c>
      <c r="T15" s="47"/>
      <c r="U15" s="58">
        <f t="shared" si="1"/>
        <v>64888100</v>
      </c>
      <c r="W15" s="119"/>
    </row>
    <row r="16" spans="1:23" s="31" customFormat="1" ht="15">
      <c r="A16" s="31" t="s">
        <v>7</v>
      </c>
      <c r="B16" s="47">
        <v>154573278</v>
      </c>
      <c r="C16" s="47"/>
      <c r="D16" s="76">
        <v>611700</v>
      </c>
      <c r="E16" s="47"/>
      <c r="F16" s="58">
        <f t="shared" si="0"/>
        <v>155184978</v>
      </c>
      <c r="G16" s="50"/>
      <c r="H16" s="157">
        <v>-44076600</v>
      </c>
      <c r="I16" s="157"/>
      <c r="J16" s="157">
        <v>-47964000</v>
      </c>
      <c r="K16" s="50"/>
      <c r="L16" s="50">
        <f t="shared" si="2"/>
        <v>-3887400</v>
      </c>
      <c r="M16" s="50"/>
      <c r="N16" s="58">
        <f t="shared" si="3"/>
        <v>151297578</v>
      </c>
      <c r="O16" s="50"/>
      <c r="Q16" s="50"/>
      <c r="R16" s="50"/>
      <c r="S16" s="71">
        <f t="shared" si="4"/>
        <v>-3275700</v>
      </c>
      <c r="T16" s="47"/>
      <c r="U16" s="58">
        <f t="shared" si="1"/>
        <v>151297578</v>
      </c>
      <c r="W16" s="119"/>
    </row>
    <row r="17" spans="1:23" s="31" customFormat="1" ht="15">
      <c r="A17" s="31" t="s">
        <v>8</v>
      </c>
      <c r="B17" s="47">
        <v>103587079</v>
      </c>
      <c r="C17" s="47"/>
      <c r="D17" s="76">
        <v>344400</v>
      </c>
      <c r="E17" s="47"/>
      <c r="F17" s="58">
        <f t="shared" si="0"/>
        <v>103931479</v>
      </c>
      <c r="G17" s="50"/>
      <c r="H17" s="157">
        <v>-28997500</v>
      </c>
      <c r="I17" s="157"/>
      <c r="J17" s="157">
        <v>-28464700</v>
      </c>
      <c r="K17" s="50"/>
      <c r="L17" s="50">
        <f t="shared" si="2"/>
        <v>532800</v>
      </c>
      <c r="M17" s="50"/>
      <c r="N17" s="58">
        <f t="shared" si="3"/>
        <v>104464279</v>
      </c>
      <c r="O17" s="50"/>
      <c r="Q17" s="50"/>
      <c r="R17" s="50"/>
      <c r="S17" s="71">
        <f t="shared" si="4"/>
        <v>877200</v>
      </c>
      <c r="T17" s="47"/>
      <c r="U17" s="58">
        <f t="shared" si="1"/>
        <v>104464279</v>
      </c>
      <c r="W17" s="119"/>
    </row>
    <row r="18" spans="1:23" s="31" customFormat="1" ht="15">
      <c r="A18" s="31" t="s">
        <v>9</v>
      </c>
      <c r="B18" s="47">
        <v>16472011</v>
      </c>
      <c r="C18" s="47"/>
      <c r="D18" s="76">
        <v>40810</v>
      </c>
      <c r="E18" s="47"/>
      <c r="F18" s="58">
        <f t="shared" si="0"/>
        <v>16512821</v>
      </c>
      <c r="G18" s="50"/>
      <c r="H18" s="157">
        <v>-1972300</v>
      </c>
      <c r="I18" s="157"/>
      <c r="J18" s="157">
        <v>-738000</v>
      </c>
      <c r="K18" s="50"/>
      <c r="L18" s="50">
        <f t="shared" si="2"/>
        <v>1234300</v>
      </c>
      <c r="M18" s="50"/>
      <c r="N18" s="58">
        <f t="shared" si="3"/>
        <v>17747121</v>
      </c>
      <c r="O18" s="50"/>
      <c r="Q18" s="50"/>
      <c r="R18" s="50"/>
      <c r="S18" s="71">
        <f t="shared" si="4"/>
        <v>1275110</v>
      </c>
      <c r="T18" s="47"/>
      <c r="U18" s="58">
        <f t="shared" si="1"/>
        <v>17747121</v>
      </c>
      <c r="W18" s="119"/>
    </row>
    <row r="19" spans="1:23" s="31" customFormat="1" ht="15">
      <c r="A19" s="31" t="s">
        <v>10</v>
      </c>
      <c r="B19" s="47">
        <v>46061803</v>
      </c>
      <c r="C19" s="47"/>
      <c r="D19" s="76">
        <v>114420</v>
      </c>
      <c r="E19" s="47"/>
      <c r="F19" s="58">
        <f t="shared" si="0"/>
        <v>46176223</v>
      </c>
      <c r="G19" s="50"/>
      <c r="H19" s="157">
        <v>-5978300</v>
      </c>
      <c r="I19" s="157"/>
      <c r="J19" s="157">
        <v>-3410400</v>
      </c>
      <c r="K19" s="50"/>
      <c r="L19" s="50">
        <f t="shared" si="2"/>
        <v>2567900</v>
      </c>
      <c r="M19" s="50"/>
      <c r="N19" s="58">
        <f t="shared" si="3"/>
        <v>48744123</v>
      </c>
      <c r="O19" s="50"/>
      <c r="Q19" s="50"/>
      <c r="R19" s="50"/>
      <c r="S19" s="71">
        <f t="shared" si="4"/>
        <v>2682320</v>
      </c>
      <c r="T19" s="47"/>
      <c r="U19" s="58">
        <f t="shared" si="1"/>
        <v>48744123</v>
      </c>
      <c r="W19" s="119"/>
    </row>
    <row r="20" spans="1:23" s="31" customFormat="1" ht="15">
      <c r="A20" s="31" t="s">
        <v>11</v>
      </c>
      <c r="B20" s="47">
        <v>148718316</v>
      </c>
      <c r="C20" s="47"/>
      <c r="D20" s="76">
        <v>534000</v>
      </c>
      <c r="E20" s="47"/>
      <c r="F20" s="58">
        <f t="shared" si="0"/>
        <v>149252316</v>
      </c>
      <c r="G20" s="50"/>
      <c r="H20" s="157">
        <v>-42339600</v>
      </c>
      <c r="I20" s="157"/>
      <c r="J20" s="157">
        <v>-45039200</v>
      </c>
      <c r="K20" s="50"/>
      <c r="L20" s="50">
        <f t="shared" si="2"/>
        <v>-2699600</v>
      </c>
      <c r="M20" s="50"/>
      <c r="N20" s="58">
        <f t="shared" si="3"/>
        <v>146552716</v>
      </c>
      <c r="O20" s="50"/>
      <c r="Q20" s="50"/>
      <c r="R20" s="50"/>
      <c r="S20" s="71">
        <f t="shared" si="4"/>
        <v>-2165600</v>
      </c>
      <c r="T20" s="47"/>
      <c r="U20" s="58">
        <f t="shared" si="1"/>
        <v>146552716</v>
      </c>
      <c r="W20" s="119"/>
    </row>
    <row r="21" spans="1:23" s="31" customFormat="1" ht="15">
      <c r="A21" s="31" t="s">
        <v>12</v>
      </c>
      <c r="B21" s="47">
        <v>110101122</v>
      </c>
      <c r="C21" s="47"/>
      <c r="D21" s="76">
        <v>384560</v>
      </c>
      <c r="E21" s="47"/>
      <c r="F21" s="58">
        <f t="shared" si="0"/>
        <v>110485682</v>
      </c>
      <c r="G21" s="50"/>
      <c r="H21" s="157">
        <v>-31279300</v>
      </c>
      <c r="I21" s="157"/>
      <c r="J21" s="157">
        <v>-30258400</v>
      </c>
      <c r="K21" s="50"/>
      <c r="L21" s="50">
        <f t="shared" si="2"/>
        <v>1020900</v>
      </c>
      <c r="M21" s="50"/>
      <c r="N21" s="58">
        <f t="shared" si="3"/>
        <v>111506582</v>
      </c>
      <c r="O21" s="50"/>
      <c r="Q21" s="50"/>
      <c r="R21" s="50"/>
      <c r="S21" s="71">
        <f t="shared" si="4"/>
        <v>1405460</v>
      </c>
      <c r="T21" s="47"/>
      <c r="U21" s="58">
        <f t="shared" si="1"/>
        <v>111506582</v>
      </c>
      <c r="W21" s="119"/>
    </row>
    <row r="22" spans="1:23" s="31" customFormat="1" ht="15">
      <c r="A22" s="31" t="s">
        <v>13</v>
      </c>
      <c r="B22" s="47">
        <v>126087817</v>
      </c>
      <c r="C22" s="47"/>
      <c r="D22" s="76">
        <v>459830</v>
      </c>
      <c r="E22" s="47"/>
      <c r="F22" s="58">
        <f t="shared" si="0"/>
        <v>126547647</v>
      </c>
      <c r="G22" s="50"/>
      <c r="H22" s="157">
        <v>-35313600</v>
      </c>
      <c r="I22" s="157"/>
      <c r="J22" s="157">
        <v>-38596100</v>
      </c>
      <c r="K22" s="50"/>
      <c r="L22" s="50">
        <f t="shared" si="2"/>
        <v>-3282500</v>
      </c>
      <c r="M22" s="50"/>
      <c r="N22" s="58">
        <f t="shared" si="3"/>
        <v>123265147</v>
      </c>
      <c r="O22" s="50"/>
      <c r="Q22" s="50"/>
      <c r="R22" s="50"/>
      <c r="S22" s="71">
        <f t="shared" si="4"/>
        <v>-2822670</v>
      </c>
      <c r="T22" s="47"/>
      <c r="U22" s="58">
        <f t="shared" si="1"/>
        <v>123265147</v>
      </c>
      <c r="W22" s="119"/>
    </row>
    <row r="23" spans="1:23" s="31" customFormat="1" ht="15">
      <c r="A23" s="31" t="s">
        <v>14</v>
      </c>
      <c r="B23" s="47">
        <v>83133458</v>
      </c>
      <c r="C23" s="47"/>
      <c r="D23" s="76">
        <v>262490</v>
      </c>
      <c r="E23" s="47"/>
      <c r="F23" s="58">
        <f t="shared" si="0"/>
        <v>83395948</v>
      </c>
      <c r="G23" s="50"/>
      <c r="H23" s="157">
        <v>-23009600</v>
      </c>
      <c r="I23" s="157"/>
      <c r="J23" s="157">
        <v>-23186400</v>
      </c>
      <c r="K23" s="50"/>
      <c r="L23" s="50">
        <f t="shared" si="2"/>
        <v>-176800</v>
      </c>
      <c r="M23" s="50"/>
      <c r="N23" s="58">
        <f t="shared" si="3"/>
        <v>83219148</v>
      </c>
      <c r="O23" s="50"/>
      <c r="Q23" s="50"/>
      <c r="R23" s="50"/>
      <c r="S23" s="71">
        <f t="shared" si="4"/>
        <v>85690</v>
      </c>
      <c r="T23" s="47"/>
      <c r="U23" s="58">
        <f t="shared" si="1"/>
        <v>83219148</v>
      </c>
      <c r="W23" s="119"/>
    </row>
    <row r="24" spans="1:23" s="31" customFormat="1" ht="15">
      <c r="A24" s="31" t="s">
        <v>15</v>
      </c>
      <c r="B24" s="47">
        <v>166107116</v>
      </c>
      <c r="C24" s="47"/>
      <c r="D24" s="76">
        <v>608770</v>
      </c>
      <c r="E24" s="47"/>
      <c r="F24" s="58">
        <f t="shared" si="0"/>
        <v>166715886</v>
      </c>
      <c r="G24" s="50"/>
      <c r="H24" s="157">
        <v>-47825500</v>
      </c>
      <c r="I24" s="157"/>
      <c r="J24" s="157">
        <v>-50208400</v>
      </c>
      <c r="K24" s="50"/>
      <c r="L24" s="50">
        <f t="shared" si="2"/>
        <v>-2382900</v>
      </c>
      <c r="M24" s="50"/>
      <c r="N24" s="58">
        <f t="shared" si="3"/>
        <v>164332986</v>
      </c>
      <c r="O24" s="50"/>
      <c r="Q24" s="50"/>
      <c r="R24" s="147"/>
      <c r="S24" s="71">
        <f t="shared" si="4"/>
        <v>-1774130</v>
      </c>
      <c r="T24" s="47"/>
      <c r="U24" s="58">
        <f t="shared" si="1"/>
        <v>164332986</v>
      </c>
      <c r="W24" s="119"/>
    </row>
    <row r="25" spans="1:23" s="31" customFormat="1" ht="15">
      <c r="A25" s="31" t="s">
        <v>16</v>
      </c>
      <c r="B25" s="47">
        <v>128676149</v>
      </c>
      <c r="C25" s="47"/>
      <c r="D25" s="76">
        <v>496290</v>
      </c>
      <c r="E25" s="47"/>
      <c r="F25" s="58">
        <f t="shared" si="0"/>
        <v>129172439</v>
      </c>
      <c r="G25" s="50"/>
      <c r="H25" s="157">
        <v>-37158300</v>
      </c>
      <c r="I25" s="157"/>
      <c r="J25" s="157">
        <v>-40393400</v>
      </c>
      <c r="K25" s="50"/>
      <c r="L25" s="50">
        <f t="shared" si="2"/>
        <v>-3235100</v>
      </c>
      <c r="M25" s="50"/>
      <c r="N25" s="58">
        <f t="shared" si="3"/>
        <v>125937339</v>
      </c>
      <c r="O25" s="50"/>
      <c r="Q25" s="50"/>
      <c r="R25" s="50"/>
      <c r="S25" s="71">
        <f t="shared" si="4"/>
        <v>-2738810</v>
      </c>
      <c r="T25" s="47"/>
      <c r="U25" s="58">
        <f t="shared" si="1"/>
        <v>125937339</v>
      </c>
      <c r="W25" s="119"/>
    </row>
    <row r="26" spans="1:23" s="31" customFormat="1" ht="15">
      <c r="A26" s="31" t="s">
        <v>17</v>
      </c>
      <c r="B26" s="47">
        <v>125111472</v>
      </c>
      <c r="C26" s="47"/>
      <c r="D26" s="76">
        <v>527860</v>
      </c>
      <c r="E26" s="47"/>
      <c r="F26" s="58">
        <f t="shared" si="0"/>
        <v>125639332</v>
      </c>
      <c r="G26" s="50"/>
      <c r="H26" s="157">
        <v>-36790700</v>
      </c>
      <c r="I26" s="157"/>
      <c r="J26" s="157">
        <v>-39453200</v>
      </c>
      <c r="K26" s="50"/>
      <c r="L26" s="50">
        <f t="shared" si="2"/>
        <v>-2662500</v>
      </c>
      <c r="M26" s="50"/>
      <c r="N26" s="58">
        <f t="shared" si="3"/>
        <v>122976832</v>
      </c>
      <c r="O26" s="50"/>
      <c r="Q26" s="50"/>
      <c r="R26" s="50"/>
      <c r="S26" s="71">
        <f t="shared" si="4"/>
        <v>-2134640</v>
      </c>
      <c r="T26" s="47"/>
      <c r="U26" s="58">
        <f t="shared" si="1"/>
        <v>122976832</v>
      </c>
      <c r="W26" s="119"/>
    </row>
    <row r="27" spans="1:23" s="31" customFormat="1" ht="15">
      <c r="A27" s="31" t="s">
        <v>18</v>
      </c>
      <c r="B27" s="47">
        <v>110289288</v>
      </c>
      <c r="C27" s="47"/>
      <c r="D27" s="76">
        <v>426220</v>
      </c>
      <c r="E27" s="47"/>
      <c r="F27" s="58">
        <f t="shared" si="0"/>
        <v>110715508</v>
      </c>
      <c r="G27" s="50"/>
      <c r="H27" s="157">
        <v>-31755400</v>
      </c>
      <c r="I27" s="157"/>
      <c r="J27" s="157">
        <v>-30123000</v>
      </c>
      <c r="K27" s="50"/>
      <c r="L27" s="50">
        <f t="shared" si="2"/>
        <v>1632400</v>
      </c>
      <c r="M27" s="50"/>
      <c r="N27" s="58">
        <f t="shared" si="3"/>
        <v>112347908</v>
      </c>
      <c r="O27" s="50"/>
      <c r="Q27" s="50"/>
      <c r="R27" s="50"/>
      <c r="S27" s="71">
        <f t="shared" si="4"/>
        <v>2058620</v>
      </c>
      <c r="T27" s="47"/>
      <c r="U27" s="58">
        <f t="shared" si="1"/>
        <v>112347908</v>
      </c>
      <c r="W27" s="119"/>
    </row>
    <row r="28" spans="1:23" s="31" customFormat="1" ht="15">
      <c r="A28" s="31" t="s">
        <v>19</v>
      </c>
      <c r="B28" s="47">
        <v>53536642</v>
      </c>
      <c r="C28" s="47"/>
      <c r="D28" s="76">
        <v>158220</v>
      </c>
      <c r="E28" s="47"/>
      <c r="F28" s="58">
        <f t="shared" si="0"/>
        <v>53694862</v>
      </c>
      <c r="G28" s="50"/>
      <c r="H28" s="157">
        <v>-11870100</v>
      </c>
      <c r="I28" s="157"/>
      <c r="J28" s="157">
        <v>-10672300</v>
      </c>
      <c r="K28" s="50"/>
      <c r="L28" s="50">
        <f t="shared" si="2"/>
        <v>1197800</v>
      </c>
      <c r="M28" s="50"/>
      <c r="N28" s="58">
        <f t="shared" si="3"/>
        <v>54892662</v>
      </c>
      <c r="O28" s="50"/>
      <c r="Q28" s="50"/>
      <c r="R28" s="50"/>
      <c r="S28" s="71">
        <f t="shared" si="4"/>
        <v>1356020</v>
      </c>
      <c r="T28" s="47"/>
      <c r="U28" s="58">
        <f t="shared" si="1"/>
        <v>54892662</v>
      </c>
      <c r="W28" s="119"/>
    </row>
    <row r="29" spans="1:23" s="31" customFormat="1" ht="15">
      <c r="A29" s="31" t="s">
        <v>20</v>
      </c>
      <c r="B29" s="47">
        <v>51085673</v>
      </c>
      <c r="C29" s="47"/>
      <c r="D29" s="76">
        <v>168330</v>
      </c>
      <c r="E29" s="47"/>
      <c r="F29" s="58">
        <f t="shared" si="0"/>
        <v>51254003</v>
      </c>
      <c r="G29" s="50"/>
      <c r="H29" s="157">
        <v>-11156200</v>
      </c>
      <c r="I29" s="157"/>
      <c r="J29" s="157">
        <v>-10407500</v>
      </c>
      <c r="K29" s="50"/>
      <c r="L29" s="50">
        <f t="shared" si="2"/>
        <v>748700</v>
      </c>
      <c r="M29" s="50"/>
      <c r="N29" s="58">
        <f t="shared" si="3"/>
        <v>52002703</v>
      </c>
      <c r="O29" s="50"/>
      <c r="Q29" s="50"/>
      <c r="R29" s="50"/>
      <c r="S29" s="71">
        <f t="shared" si="4"/>
        <v>917030</v>
      </c>
      <c r="T29" s="47"/>
      <c r="U29" s="58">
        <f t="shared" si="1"/>
        <v>52002703</v>
      </c>
      <c r="W29" s="119"/>
    </row>
    <row r="30" spans="1:23" s="31" customFormat="1" ht="15">
      <c r="A30" s="31" t="s">
        <v>21</v>
      </c>
      <c r="B30" s="47">
        <v>51346837</v>
      </c>
      <c r="C30" s="47"/>
      <c r="D30" s="76">
        <v>147270</v>
      </c>
      <c r="E30" s="47"/>
      <c r="F30" s="58">
        <f t="shared" si="0"/>
        <v>51494107</v>
      </c>
      <c r="G30" s="50"/>
      <c r="H30" s="157">
        <v>-11020400</v>
      </c>
      <c r="I30" s="157"/>
      <c r="J30" s="157">
        <v>-10044900</v>
      </c>
      <c r="K30" s="50"/>
      <c r="L30" s="50">
        <f t="shared" si="2"/>
        <v>975500</v>
      </c>
      <c r="M30" s="50"/>
      <c r="N30" s="58">
        <f t="shared" si="3"/>
        <v>52469607</v>
      </c>
      <c r="O30" s="50"/>
      <c r="Q30" s="50"/>
      <c r="R30" s="50"/>
      <c r="S30" s="71">
        <f t="shared" si="4"/>
        <v>1122770</v>
      </c>
      <c r="T30" s="47"/>
      <c r="U30" s="58">
        <f t="shared" si="1"/>
        <v>52469607</v>
      </c>
      <c r="W30" s="119"/>
    </row>
    <row r="31" spans="2:23" s="31" customFormat="1" ht="9" customHeight="1">
      <c r="B31" s="47"/>
      <c r="C31" s="47"/>
      <c r="D31" s="47"/>
      <c r="E31" s="47"/>
      <c r="F31" s="58"/>
      <c r="G31" s="50"/>
      <c r="H31" s="157"/>
      <c r="I31" s="157"/>
      <c r="J31" s="157"/>
      <c r="K31" s="50"/>
      <c r="L31" s="50"/>
      <c r="M31" s="50"/>
      <c r="N31" s="58"/>
      <c r="O31" s="50"/>
      <c r="P31" s="50"/>
      <c r="Q31" s="50"/>
      <c r="R31" s="50"/>
      <c r="S31" s="71"/>
      <c r="T31" s="47"/>
      <c r="U31" s="58"/>
      <c r="W31" s="120"/>
    </row>
    <row r="32" spans="1:23" s="56" customFormat="1" ht="15" customHeight="1">
      <c r="A32" s="43" t="s">
        <v>22</v>
      </c>
      <c r="B32" s="48">
        <v>2099050790</v>
      </c>
      <c r="C32" s="48"/>
      <c r="D32" s="48">
        <f>SUM(D8:D31)</f>
        <v>7288547</v>
      </c>
      <c r="E32" s="48"/>
      <c r="F32" s="59">
        <f>SUM(F8:F31)</f>
        <v>2106339337</v>
      </c>
      <c r="G32" s="48"/>
      <c r="H32" s="158">
        <v>-557560000</v>
      </c>
      <c r="I32" s="158"/>
      <c r="J32" s="158">
        <v>-562894800</v>
      </c>
      <c r="K32" s="48"/>
      <c r="L32" s="48">
        <f>SUM(L8:L31)</f>
        <v>-5334800</v>
      </c>
      <c r="M32" s="48"/>
      <c r="N32" s="59">
        <f>SUM(N8:N31)</f>
        <v>2101004537</v>
      </c>
      <c r="O32" s="48"/>
      <c r="P32" s="48">
        <f>SUM(P8:P31)</f>
        <v>0</v>
      </c>
      <c r="Q32" s="48"/>
      <c r="R32" s="48"/>
      <c r="S32" s="72">
        <f>SUM(S8:S31)</f>
        <v>1953747</v>
      </c>
      <c r="T32" s="55"/>
      <c r="U32" s="59">
        <f>SUM(U8:U31)</f>
        <v>2101004537</v>
      </c>
      <c r="W32" s="49"/>
    </row>
    <row r="33" spans="2:23" s="31" customFormat="1" ht="9" customHeight="1">
      <c r="B33" s="47"/>
      <c r="C33" s="47"/>
      <c r="D33" s="47"/>
      <c r="E33" s="47"/>
      <c r="F33" s="58"/>
      <c r="G33" s="50"/>
      <c r="H33" s="157"/>
      <c r="I33" s="157"/>
      <c r="J33" s="157"/>
      <c r="K33" s="50"/>
      <c r="L33" s="50"/>
      <c r="M33" s="50"/>
      <c r="N33" s="58"/>
      <c r="O33" s="50"/>
      <c r="P33" s="50"/>
      <c r="Q33" s="50"/>
      <c r="R33" s="50"/>
      <c r="S33" s="71"/>
      <c r="T33" s="47"/>
      <c r="U33" s="58"/>
      <c r="W33" s="120"/>
    </row>
    <row r="34" spans="1:23" s="31" customFormat="1" ht="15">
      <c r="A34" s="31" t="s">
        <v>23</v>
      </c>
      <c r="B34" s="47">
        <v>67011227</v>
      </c>
      <c r="C34" s="47"/>
      <c r="D34" s="47">
        <f>157460</f>
        <v>157460</v>
      </c>
      <c r="E34" s="47"/>
      <c r="F34" s="58">
        <f>B34+D34</f>
        <v>67168687</v>
      </c>
      <c r="G34" s="50"/>
      <c r="H34" s="157">
        <v>-8584100</v>
      </c>
      <c r="I34" s="157"/>
      <c r="J34" s="157">
        <v>-5350700</v>
      </c>
      <c r="K34" s="50"/>
      <c r="L34" s="50">
        <f>J34-H34</f>
        <v>3233400</v>
      </c>
      <c r="M34" s="50"/>
      <c r="N34" s="58">
        <f>F34+L34</f>
        <v>70402087</v>
      </c>
      <c r="O34" s="50"/>
      <c r="P34" s="50">
        <f>182418+2293095+77625</f>
        <v>2553138</v>
      </c>
      <c r="Q34" s="50"/>
      <c r="R34" s="50"/>
      <c r="S34" s="71">
        <f>D34+L34+P34</f>
        <v>5943998</v>
      </c>
      <c r="T34" s="47"/>
      <c r="U34" s="58">
        <f>B34+S34</f>
        <v>72955225</v>
      </c>
      <c r="W34" s="119"/>
    </row>
    <row r="35" spans="1:23" s="31" customFormat="1" ht="15">
      <c r="A35" s="31" t="s">
        <v>32</v>
      </c>
      <c r="B35" s="47">
        <v>1244735</v>
      </c>
      <c r="C35" s="47"/>
      <c r="D35" s="47">
        <v>0</v>
      </c>
      <c r="E35" s="47"/>
      <c r="F35" s="58">
        <f>B35+D35</f>
        <v>1244735</v>
      </c>
      <c r="G35" s="50"/>
      <c r="H35" s="157">
        <v>0</v>
      </c>
      <c r="I35" s="157"/>
      <c r="J35" s="157">
        <v>0</v>
      </c>
      <c r="K35" s="50"/>
      <c r="L35" s="50">
        <f>J35-H35</f>
        <v>0</v>
      </c>
      <c r="M35" s="50"/>
      <c r="N35" s="58">
        <f>F35+L35</f>
        <v>1244735</v>
      </c>
      <c r="O35" s="50"/>
      <c r="P35" s="50">
        <v>0</v>
      </c>
      <c r="Q35" s="50"/>
      <c r="R35" s="50"/>
      <c r="S35" s="71">
        <f>D35+L35+P35</f>
        <v>0</v>
      </c>
      <c r="T35" s="47"/>
      <c r="U35" s="58">
        <f>B35+S35</f>
        <v>1244735</v>
      </c>
      <c r="W35" s="119"/>
    </row>
    <row r="36" spans="1:23" s="31" customFormat="1" ht="15">
      <c r="A36" s="31" t="s">
        <v>24</v>
      </c>
      <c r="B36" s="47">
        <v>2476496</v>
      </c>
      <c r="C36" s="47"/>
      <c r="D36" s="47">
        <v>0</v>
      </c>
      <c r="E36" s="47"/>
      <c r="F36" s="58">
        <f>B36+D36</f>
        <v>2476496</v>
      </c>
      <c r="G36" s="50"/>
      <c r="H36" s="157">
        <v>0</v>
      </c>
      <c r="I36" s="157"/>
      <c r="J36" s="157">
        <v>0</v>
      </c>
      <c r="K36" s="50"/>
      <c r="L36" s="50">
        <f>J36-H36</f>
        <v>0</v>
      </c>
      <c r="M36" s="50"/>
      <c r="N36" s="58">
        <f>F36+L36</f>
        <v>2476496</v>
      </c>
      <c r="O36" s="50"/>
      <c r="P36" s="50">
        <v>0</v>
      </c>
      <c r="Q36" s="50"/>
      <c r="R36" s="50"/>
      <c r="S36" s="71">
        <f>D36+L36+P36</f>
        <v>0</v>
      </c>
      <c r="T36" s="47"/>
      <c r="U36" s="58">
        <f>B36+S36</f>
        <v>2476496</v>
      </c>
      <c r="W36" s="119"/>
    </row>
    <row r="37" spans="1:23" s="31" customFormat="1" ht="15">
      <c r="A37" s="31" t="s">
        <v>25</v>
      </c>
      <c r="B37" s="47">
        <v>98800</v>
      </c>
      <c r="C37" s="47"/>
      <c r="D37" s="47">
        <v>0</v>
      </c>
      <c r="E37" s="47"/>
      <c r="F37" s="58">
        <f>B37+D37</f>
        <v>98800</v>
      </c>
      <c r="G37" s="50"/>
      <c r="H37" s="157">
        <v>0</v>
      </c>
      <c r="I37" s="157"/>
      <c r="J37" s="157">
        <v>0</v>
      </c>
      <c r="K37" s="50"/>
      <c r="L37" s="50">
        <f>J37-H37</f>
        <v>0</v>
      </c>
      <c r="M37" s="50"/>
      <c r="N37" s="58">
        <f>F37+L37</f>
        <v>98800</v>
      </c>
      <c r="O37" s="50"/>
      <c r="P37" s="50">
        <v>0</v>
      </c>
      <c r="Q37" s="50"/>
      <c r="R37" s="50"/>
      <c r="S37" s="71">
        <f>D37+L37+P37</f>
        <v>0</v>
      </c>
      <c r="T37" s="47"/>
      <c r="U37" s="58">
        <f>B37+S37</f>
        <v>98800</v>
      </c>
      <c r="W37" s="119"/>
    </row>
    <row r="38" spans="1:23" s="31" customFormat="1" ht="15">
      <c r="A38" s="31" t="s">
        <v>26</v>
      </c>
      <c r="B38" s="47">
        <v>168069601</v>
      </c>
      <c r="C38" s="47"/>
      <c r="D38" s="47">
        <v>0</v>
      </c>
      <c r="E38" s="47"/>
      <c r="F38" s="58">
        <f>B38+D38</f>
        <v>168069601</v>
      </c>
      <c r="G38" s="50"/>
      <c r="H38" s="157">
        <v>-4955900</v>
      </c>
      <c r="I38" s="157"/>
      <c r="J38" s="157">
        <v>-2854500</v>
      </c>
      <c r="K38" s="50"/>
      <c r="L38" s="50">
        <f>J38-H38</f>
        <v>2101400</v>
      </c>
      <c r="M38" s="50"/>
      <c r="N38" s="58">
        <f>F38+L38</f>
        <v>170171001</v>
      </c>
      <c r="O38" s="50"/>
      <c r="P38" s="50">
        <f>-182418+910500-2293095+4656000+8133000+663000-1878000-77625</f>
        <v>9931362</v>
      </c>
      <c r="Q38" s="50"/>
      <c r="R38" s="147"/>
      <c r="S38" s="71">
        <f>D38+L38+P38</f>
        <v>12032762</v>
      </c>
      <c r="T38" s="47"/>
      <c r="U38" s="58">
        <f>B38+S38</f>
        <v>180102363</v>
      </c>
      <c r="W38" s="119"/>
    </row>
    <row r="39" spans="2:23" s="31" customFormat="1" ht="9" customHeight="1">
      <c r="B39" s="47"/>
      <c r="C39" s="47"/>
      <c r="D39" s="47"/>
      <c r="E39" s="47"/>
      <c r="F39" s="58"/>
      <c r="G39" s="50"/>
      <c r="H39" s="157"/>
      <c r="I39" s="157"/>
      <c r="J39" s="157"/>
      <c r="K39" s="50"/>
      <c r="L39" s="50"/>
      <c r="M39" s="50"/>
      <c r="N39" s="58"/>
      <c r="O39" s="50"/>
      <c r="P39" s="50"/>
      <c r="Q39" s="50"/>
      <c r="R39" s="50"/>
      <c r="S39" s="71"/>
      <c r="T39" s="47"/>
      <c r="U39" s="58"/>
      <c r="W39" s="120"/>
    </row>
    <row r="40" spans="1:23" s="56" customFormat="1" ht="15" customHeight="1" thickBot="1">
      <c r="A40" s="44" t="s">
        <v>27</v>
      </c>
      <c r="B40" s="52">
        <v>2337951649</v>
      </c>
      <c r="C40" s="52"/>
      <c r="D40" s="52">
        <f>SUM(D32:D38)</f>
        <v>7446007</v>
      </c>
      <c r="E40" s="52"/>
      <c r="F40" s="60">
        <f>SUM(F32:F38)</f>
        <v>2345397656</v>
      </c>
      <c r="G40" s="52"/>
      <c r="H40" s="159">
        <v>-571100000</v>
      </c>
      <c r="I40" s="159"/>
      <c r="J40" s="159">
        <v>-571100000</v>
      </c>
      <c r="K40" s="52"/>
      <c r="L40" s="52">
        <f>L32+L34+L35+L36+L37+L38</f>
        <v>0</v>
      </c>
      <c r="M40" s="52"/>
      <c r="N40" s="60">
        <f>SUM(N32:N38)</f>
        <v>2345397656</v>
      </c>
      <c r="O40" s="52"/>
      <c r="P40" s="52">
        <f>SUM(P32:P38)</f>
        <v>12484500</v>
      </c>
      <c r="Q40" s="52"/>
      <c r="R40" s="52"/>
      <c r="S40" s="146">
        <f>SUM(S32:S38)</f>
        <v>19930507</v>
      </c>
      <c r="T40" s="52"/>
      <c r="U40" s="60">
        <f>SUM(U32:U38)</f>
        <v>2357882156</v>
      </c>
      <c r="W40" s="49"/>
    </row>
    <row r="41" spans="13:17" ht="12.75">
      <c r="M41" s="34"/>
      <c r="N41" s="34"/>
      <c r="O41" s="34"/>
      <c r="P41" s="34"/>
      <c r="Q41" s="34"/>
    </row>
    <row r="42" spans="1:21" ht="52.5" customHeight="1">
      <c r="A42" s="258" t="s">
        <v>116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</row>
  </sheetData>
  <sheetProtection/>
  <mergeCells count="1">
    <mergeCell ref="A42:U42"/>
  </mergeCells>
  <printOptions/>
  <pageMargins left="0.25" right="0.25" top="0.25" bottom="0.25" header="0.5" footer="0.5"/>
  <pageSetup fitToHeight="1" fitToWidth="1" horizontalDpi="600" verticalDpi="6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5" sqref="J15"/>
    </sheetView>
  </sheetViews>
  <sheetFormatPr defaultColWidth="9.33203125" defaultRowHeight="12.75"/>
  <cols>
    <col min="1" max="1" width="24.66015625" style="85" customWidth="1"/>
    <col min="2" max="2" width="1.83203125" style="84" customWidth="1"/>
    <col min="3" max="3" width="12.33203125" style="82" customWidth="1"/>
    <col min="4" max="4" width="12.33203125" style="82" bestFit="1" customWidth="1"/>
    <col min="5" max="5" width="12.66015625" style="82" bestFit="1" customWidth="1"/>
    <col min="6" max="6" width="2.83203125" style="82" customWidth="1"/>
    <col min="7" max="7" width="3.83203125" style="82" customWidth="1"/>
    <col min="8" max="8" width="13.66015625" style="83" bestFit="1" customWidth="1"/>
    <col min="9" max="9" width="3.83203125" style="83" customWidth="1"/>
    <col min="10" max="10" width="15" style="122" customWidth="1"/>
    <col min="11" max="11" width="21.33203125" style="83" customWidth="1"/>
    <col min="12" max="12" width="1.83203125" style="83" customWidth="1"/>
    <col min="13" max="13" width="16.16015625" style="122" customWidth="1"/>
    <col min="14" max="14" width="2.83203125" style="82" customWidth="1"/>
    <col min="15" max="15" width="15.33203125" style="82" customWidth="1"/>
    <col min="16" max="16384" width="9.33203125" style="82" customWidth="1"/>
  </cols>
  <sheetData>
    <row r="1" spans="1:2" ht="16.5">
      <c r="A1" s="143" t="s">
        <v>73</v>
      </c>
      <c r="B1" s="117"/>
    </row>
    <row r="2" spans="1:2" ht="15.75" customHeight="1">
      <c r="A2" s="167"/>
      <c r="B2" s="116"/>
    </row>
    <row r="3" spans="1:15" s="113" customFormat="1" ht="18" customHeight="1">
      <c r="A3" s="115"/>
      <c r="B3" s="115"/>
      <c r="C3" s="114">
        <v>-1</v>
      </c>
      <c r="D3" s="114">
        <v>-2</v>
      </c>
      <c r="E3" s="114">
        <v>-3</v>
      </c>
      <c r="F3" s="114"/>
      <c r="G3" s="114"/>
      <c r="H3" s="114">
        <v>-4</v>
      </c>
      <c r="I3" s="114"/>
      <c r="J3" s="114"/>
      <c r="K3" s="113">
        <v>-5</v>
      </c>
      <c r="M3" s="114">
        <v>-6</v>
      </c>
      <c r="O3" s="113">
        <v>-7</v>
      </c>
    </row>
    <row r="4" spans="1:15" s="111" customFormat="1" ht="15.75">
      <c r="A4" s="112"/>
      <c r="B4" s="109"/>
      <c r="C4" s="261" t="s">
        <v>66</v>
      </c>
      <c r="D4" s="261"/>
      <c r="E4" s="261"/>
      <c r="F4" s="261"/>
      <c r="G4" s="261"/>
      <c r="H4" s="261"/>
      <c r="I4" s="164"/>
      <c r="J4" s="150"/>
      <c r="K4" s="263" t="s">
        <v>71</v>
      </c>
      <c r="L4" s="150"/>
      <c r="M4" s="166"/>
      <c r="N4" s="168"/>
      <c r="O4" s="187"/>
    </row>
    <row r="5" spans="1:17" s="108" customFormat="1" ht="45.75">
      <c r="A5" s="110"/>
      <c r="B5" s="109"/>
      <c r="C5" s="169" t="s">
        <v>36</v>
      </c>
      <c r="D5" s="169" t="s">
        <v>35</v>
      </c>
      <c r="E5" s="170" t="s">
        <v>59</v>
      </c>
      <c r="F5" s="169"/>
      <c r="G5" s="262" t="s">
        <v>41</v>
      </c>
      <c r="H5" s="262"/>
      <c r="I5" s="262"/>
      <c r="J5" s="186"/>
      <c r="K5" s="263"/>
      <c r="L5" s="166"/>
      <c r="M5" s="166" t="s">
        <v>72</v>
      </c>
      <c r="N5" s="166"/>
      <c r="O5" s="188" t="s">
        <v>60</v>
      </c>
      <c r="P5" s="188"/>
      <c r="Q5" s="188"/>
    </row>
    <row r="6" spans="1:15" s="102" customFormat="1" ht="12.75">
      <c r="A6" s="107"/>
      <c r="B6" s="106"/>
      <c r="C6" s="105"/>
      <c r="D6" s="105"/>
      <c r="E6" s="103"/>
      <c r="F6" s="105"/>
      <c r="G6" s="260" t="s">
        <v>45</v>
      </c>
      <c r="H6" s="260"/>
      <c r="I6" s="260"/>
      <c r="J6" s="185"/>
      <c r="K6" s="163"/>
      <c r="L6" s="183"/>
      <c r="M6" s="104"/>
      <c r="O6" s="171" t="s">
        <v>67</v>
      </c>
    </row>
    <row r="7" spans="1:13" s="98" customFormat="1" ht="9" customHeight="1">
      <c r="A7" s="85"/>
      <c r="B7" s="84"/>
      <c r="C7" s="101"/>
      <c r="D7" s="101"/>
      <c r="E7" s="99"/>
      <c r="F7" s="101"/>
      <c r="G7" s="101"/>
      <c r="H7" s="100"/>
      <c r="I7" s="100"/>
      <c r="J7" s="100"/>
      <c r="K7" s="100"/>
      <c r="L7" s="100"/>
      <c r="M7" s="100"/>
    </row>
    <row r="8" spans="1:16" s="93" customFormat="1" ht="15" customHeight="1">
      <c r="A8" s="97" t="s">
        <v>0</v>
      </c>
      <c r="B8" s="87"/>
      <c r="C8" s="87">
        <v>204000</v>
      </c>
      <c r="D8" s="87">
        <v>146600</v>
      </c>
      <c r="E8" s="87">
        <v>0</v>
      </c>
      <c r="F8" s="96"/>
      <c r="G8" s="87"/>
      <c r="H8" s="95">
        <f>SUM(C8:E8)</f>
        <v>350600</v>
      </c>
      <c r="I8" s="95"/>
      <c r="J8" s="95"/>
      <c r="K8" s="95"/>
      <c r="L8" s="95"/>
      <c r="M8" s="95"/>
      <c r="N8" s="94"/>
      <c r="O8" s="94"/>
      <c r="P8" s="94"/>
    </row>
    <row r="9" spans="1:16" ht="15" customHeight="1">
      <c r="A9" s="86" t="s">
        <v>1</v>
      </c>
      <c r="B9" s="77"/>
      <c r="C9" s="77">
        <v>148000</v>
      </c>
      <c r="D9" s="77">
        <v>107500</v>
      </c>
      <c r="E9" s="77">
        <v>601900</v>
      </c>
      <c r="F9" s="92"/>
      <c r="G9" s="77"/>
      <c r="H9" s="90">
        <f>SUM(C9:G9)</f>
        <v>857400</v>
      </c>
      <c r="I9" s="90"/>
      <c r="J9" s="90"/>
      <c r="K9" s="90"/>
      <c r="L9" s="90"/>
      <c r="M9" s="90"/>
      <c r="N9" s="83"/>
      <c r="O9" s="83"/>
      <c r="P9" s="83"/>
    </row>
    <row r="10" spans="1:16" ht="15" customHeight="1">
      <c r="A10" s="86" t="s">
        <v>2</v>
      </c>
      <c r="B10" s="77"/>
      <c r="C10" s="77">
        <v>463000</v>
      </c>
      <c r="D10" s="77">
        <v>312800</v>
      </c>
      <c r="E10" s="77">
        <v>0</v>
      </c>
      <c r="F10" s="92"/>
      <c r="G10" s="77"/>
      <c r="H10" s="90">
        <f aca="true" t="shared" si="0" ref="H10:H30">SUM(C10:G10)</f>
        <v>775800</v>
      </c>
      <c r="I10" s="90"/>
      <c r="J10" s="90"/>
      <c r="K10" s="90"/>
      <c r="L10" s="90"/>
      <c r="M10" s="90"/>
      <c r="N10" s="83"/>
      <c r="O10" s="83"/>
      <c r="P10" s="83"/>
    </row>
    <row r="11" spans="1:16" ht="15" customHeight="1">
      <c r="A11" s="86" t="s">
        <v>3</v>
      </c>
      <c r="B11" s="77"/>
      <c r="C11" s="77">
        <v>246000</v>
      </c>
      <c r="D11" s="77">
        <v>180500</v>
      </c>
      <c r="E11" s="77">
        <v>0</v>
      </c>
      <c r="F11" s="92"/>
      <c r="G11" s="77"/>
      <c r="H11" s="90">
        <f t="shared" si="0"/>
        <v>426500</v>
      </c>
      <c r="I11" s="90"/>
      <c r="J11" s="90"/>
      <c r="K11" s="90"/>
      <c r="L11" s="90"/>
      <c r="M11" s="90"/>
      <c r="N11" s="83"/>
      <c r="O11" s="83"/>
      <c r="P11" s="83"/>
    </row>
    <row r="12" spans="1:16" ht="15" customHeight="1">
      <c r="A12" s="86" t="s">
        <v>29</v>
      </c>
      <c r="B12" s="77"/>
      <c r="C12" s="77">
        <v>349000</v>
      </c>
      <c r="D12" s="77">
        <v>253600</v>
      </c>
      <c r="E12" s="77">
        <v>977500</v>
      </c>
      <c r="F12" s="92"/>
      <c r="G12" s="77"/>
      <c r="H12" s="90">
        <f t="shared" si="0"/>
        <v>1580100</v>
      </c>
      <c r="I12" s="90"/>
      <c r="J12" s="90"/>
      <c r="K12" s="90"/>
      <c r="L12" s="90"/>
      <c r="M12" s="90"/>
      <c r="N12" s="83"/>
      <c r="O12" s="83"/>
      <c r="P12" s="83"/>
    </row>
    <row r="13" spans="1:16" ht="15" customHeight="1">
      <c r="A13" s="86" t="s">
        <v>4</v>
      </c>
      <c r="B13" s="77"/>
      <c r="C13" s="77">
        <v>508000</v>
      </c>
      <c r="D13" s="77">
        <v>363000</v>
      </c>
      <c r="E13" s="77">
        <v>54700</v>
      </c>
      <c r="F13" s="92"/>
      <c r="G13" s="77"/>
      <c r="H13" s="90">
        <f t="shared" si="0"/>
        <v>925700</v>
      </c>
      <c r="I13" s="90"/>
      <c r="J13" s="90"/>
      <c r="K13" s="90"/>
      <c r="L13" s="90"/>
      <c r="M13" s="90"/>
      <c r="N13" s="83"/>
      <c r="O13" s="83"/>
      <c r="P13" s="83"/>
    </row>
    <row r="14" spans="1:16" ht="15" customHeight="1">
      <c r="A14" s="86" t="s">
        <v>5</v>
      </c>
      <c r="B14" s="77"/>
      <c r="C14" s="77">
        <v>669000</v>
      </c>
      <c r="D14" s="77">
        <v>481400</v>
      </c>
      <c r="E14" s="77">
        <v>77800</v>
      </c>
      <c r="F14" s="92"/>
      <c r="G14" s="77"/>
      <c r="H14" s="90">
        <f t="shared" si="0"/>
        <v>1228200</v>
      </c>
      <c r="I14" s="90"/>
      <c r="J14" s="90"/>
      <c r="K14" s="90"/>
      <c r="L14" s="90"/>
      <c r="M14" s="90"/>
      <c r="N14" s="83"/>
      <c r="O14" s="83"/>
      <c r="P14" s="83"/>
    </row>
    <row r="15" spans="1:16" ht="15" customHeight="1">
      <c r="A15" s="86" t="s">
        <v>6</v>
      </c>
      <c r="B15" s="77"/>
      <c r="C15" s="77">
        <v>254000</v>
      </c>
      <c r="D15" s="77">
        <v>235000</v>
      </c>
      <c r="E15" s="77">
        <v>585800</v>
      </c>
      <c r="F15" s="92"/>
      <c r="G15" s="77"/>
      <c r="H15" s="90">
        <f t="shared" si="0"/>
        <v>1074800</v>
      </c>
      <c r="I15" s="90"/>
      <c r="J15" s="90"/>
      <c r="K15" s="90"/>
      <c r="L15" s="90"/>
      <c r="M15" s="90"/>
      <c r="N15" s="83"/>
      <c r="O15" s="83"/>
      <c r="P15" s="83"/>
    </row>
    <row r="16" spans="1:16" ht="15" customHeight="1">
      <c r="A16" s="86" t="s">
        <v>7</v>
      </c>
      <c r="B16" s="77"/>
      <c r="C16" s="77">
        <v>702000</v>
      </c>
      <c r="D16" s="77">
        <v>523400</v>
      </c>
      <c r="E16" s="77">
        <v>1642900</v>
      </c>
      <c r="F16" s="92"/>
      <c r="G16" s="77"/>
      <c r="H16" s="90">
        <f t="shared" si="0"/>
        <v>2868300</v>
      </c>
      <c r="I16" s="90"/>
      <c r="J16" s="90"/>
      <c r="K16" s="90"/>
      <c r="L16" s="90"/>
      <c r="M16" s="90"/>
      <c r="N16" s="83"/>
      <c r="O16" s="83"/>
      <c r="P16" s="83"/>
    </row>
    <row r="17" spans="1:13" s="83" customFormat="1" ht="15" customHeight="1">
      <c r="A17" s="86" t="s">
        <v>8</v>
      </c>
      <c r="B17" s="77"/>
      <c r="C17" s="77">
        <v>402000</v>
      </c>
      <c r="D17" s="77">
        <v>405000</v>
      </c>
      <c r="E17" s="77">
        <v>0</v>
      </c>
      <c r="F17" s="92"/>
      <c r="G17" s="77"/>
      <c r="H17" s="90">
        <f t="shared" si="0"/>
        <v>807000</v>
      </c>
      <c r="I17" s="90"/>
      <c r="J17" s="90"/>
      <c r="K17" s="90"/>
      <c r="L17" s="90"/>
      <c r="M17" s="90"/>
    </row>
    <row r="18" spans="1:13" s="83" customFormat="1" ht="15" customHeight="1">
      <c r="A18" s="86" t="s">
        <v>9</v>
      </c>
      <c r="B18" s="77"/>
      <c r="C18" s="77">
        <v>51000</v>
      </c>
      <c r="D18" s="77">
        <v>71000</v>
      </c>
      <c r="E18" s="77">
        <v>0</v>
      </c>
      <c r="F18" s="92"/>
      <c r="G18" s="77"/>
      <c r="H18" s="90">
        <f t="shared" si="0"/>
        <v>122000</v>
      </c>
      <c r="I18" s="90"/>
      <c r="J18" s="90"/>
      <c r="K18" s="90"/>
      <c r="L18" s="90"/>
      <c r="M18" s="90"/>
    </row>
    <row r="19" spans="1:13" s="83" customFormat="1" ht="15" customHeight="1">
      <c r="A19" s="86" t="s">
        <v>10</v>
      </c>
      <c r="B19" s="77"/>
      <c r="C19" s="77">
        <v>153000</v>
      </c>
      <c r="D19" s="77">
        <v>130200</v>
      </c>
      <c r="E19" s="77">
        <v>0</v>
      </c>
      <c r="F19" s="92"/>
      <c r="G19" s="77"/>
      <c r="H19" s="90">
        <f t="shared" si="0"/>
        <v>283200</v>
      </c>
      <c r="I19" s="90"/>
      <c r="J19" s="90"/>
      <c r="K19" s="90"/>
      <c r="L19" s="90"/>
      <c r="M19" s="90"/>
    </row>
    <row r="20" spans="1:13" s="83" customFormat="1" ht="15" customHeight="1">
      <c r="A20" s="86" t="s">
        <v>11</v>
      </c>
      <c r="B20" s="77"/>
      <c r="C20" s="77">
        <v>676000</v>
      </c>
      <c r="D20" s="77">
        <v>493600</v>
      </c>
      <c r="E20" s="77">
        <v>0</v>
      </c>
      <c r="F20" s="92"/>
      <c r="G20" s="77"/>
      <c r="H20" s="90">
        <f t="shared" si="0"/>
        <v>1169600</v>
      </c>
      <c r="I20" s="90"/>
      <c r="J20" s="90"/>
      <c r="K20" s="90"/>
      <c r="L20" s="90"/>
      <c r="M20" s="90"/>
    </row>
    <row r="21" spans="1:13" s="83" customFormat="1" ht="15" customHeight="1">
      <c r="A21" s="86" t="s">
        <v>12</v>
      </c>
      <c r="B21" s="77"/>
      <c r="C21" s="77">
        <v>483000</v>
      </c>
      <c r="D21" s="77">
        <v>376300</v>
      </c>
      <c r="E21" s="77">
        <v>0</v>
      </c>
      <c r="F21" s="92"/>
      <c r="G21" s="77"/>
      <c r="H21" s="90">
        <f t="shared" si="0"/>
        <v>859300</v>
      </c>
      <c r="I21" s="90"/>
      <c r="J21" s="90"/>
      <c r="K21" s="90"/>
      <c r="L21" s="90"/>
      <c r="M21" s="90"/>
    </row>
    <row r="22" spans="1:13" s="83" customFormat="1" ht="15" customHeight="1">
      <c r="A22" s="86" t="s">
        <v>13</v>
      </c>
      <c r="B22" s="77"/>
      <c r="C22" s="77">
        <v>595000</v>
      </c>
      <c r="D22" s="77">
        <v>360900</v>
      </c>
      <c r="E22" s="77">
        <v>0</v>
      </c>
      <c r="F22" s="92"/>
      <c r="G22" s="77"/>
      <c r="H22" s="90">
        <f t="shared" si="0"/>
        <v>955900</v>
      </c>
      <c r="I22" s="90"/>
      <c r="J22" s="90"/>
      <c r="K22" s="90"/>
      <c r="L22" s="90"/>
      <c r="M22" s="90"/>
    </row>
    <row r="23" spans="1:13" s="83" customFormat="1" ht="15" customHeight="1">
      <c r="A23" s="86" t="s">
        <v>14</v>
      </c>
      <c r="B23" s="77"/>
      <c r="C23" s="77">
        <v>373000</v>
      </c>
      <c r="D23" s="77">
        <v>300500</v>
      </c>
      <c r="E23" s="77">
        <v>160500</v>
      </c>
      <c r="F23" s="92"/>
      <c r="G23" s="77"/>
      <c r="H23" s="90">
        <f t="shared" si="0"/>
        <v>834000</v>
      </c>
      <c r="I23" s="90"/>
      <c r="J23" s="90"/>
      <c r="K23" s="90"/>
      <c r="L23" s="90"/>
      <c r="M23" s="90"/>
    </row>
    <row r="24" spans="1:13" s="83" customFormat="1" ht="15" customHeight="1">
      <c r="A24" s="86" t="s">
        <v>15</v>
      </c>
      <c r="B24" s="77"/>
      <c r="C24" s="77">
        <v>793000</v>
      </c>
      <c r="D24" s="77">
        <v>588500</v>
      </c>
      <c r="E24" s="77">
        <v>53700</v>
      </c>
      <c r="F24" s="92"/>
      <c r="G24" s="77"/>
      <c r="H24" s="90">
        <f t="shared" si="0"/>
        <v>1435200</v>
      </c>
      <c r="I24" s="90"/>
      <c r="J24" s="90"/>
      <c r="K24" s="90"/>
      <c r="L24" s="90"/>
      <c r="M24" s="90"/>
    </row>
    <row r="25" spans="1:13" s="83" customFormat="1" ht="15" customHeight="1">
      <c r="A25" s="86" t="s">
        <v>16</v>
      </c>
      <c r="B25" s="77"/>
      <c r="C25" s="77">
        <v>618000</v>
      </c>
      <c r="D25" s="77">
        <v>417000</v>
      </c>
      <c r="E25" s="77">
        <v>77800</v>
      </c>
      <c r="F25" s="92"/>
      <c r="G25" s="77"/>
      <c r="H25" s="90">
        <f t="shared" si="0"/>
        <v>1112800</v>
      </c>
      <c r="I25" s="90"/>
      <c r="J25" s="90"/>
      <c r="K25" s="90"/>
      <c r="L25" s="90"/>
      <c r="M25" s="90"/>
    </row>
    <row r="26" spans="1:13" s="83" customFormat="1" ht="15" customHeight="1">
      <c r="A26" s="86" t="s">
        <v>17</v>
      </c>
      <c r="B26" s="77"/>
      <c r="C26" s="77">
        <v>609000</v>
      </c>
      <c r="D26" s="77">
        <v>528700</v>
      </c>
      <c r="E26" s="77">
        <v>0</v>
      </c>
      <c r="F26" s="92"/>
      <c r="G26" s="77"/>
      <c r="H26" s="90">
        <f t="shared" si="0"/>
        <v>1137700</v>
      </c>
      <c r="I26" s="90"/>
      <c r="J26" s="90"/>
      <c r="K26" s="90"/>
      <c r="L26" s="90"/>
      <c r="M26" s="90"/>
    </row>
    <row r="27" spans="1:13" s="83" customFormat="1" ht="15" customHeight="1">
      <c r="A27" s="86" t="s">
        <v>18</v>
      </c>
      <c r="B27" s="77"/>
      <c r="C27" s="77">
        <v>553000</v>
      </c>
      <c r="D27" s="77">
        <v>432500</v>
      </c>
      <c r="E27" s="77">
        <v>106100</v>
      </c>
      <c r="F27" s="92"/>
      <c r="G27" s="77"/>
      <c r="H27" s="90">
        <f t="shared" si="0"/>
        <v>1091600</v>
      </c>
      <c r="I27" s="90"/>
      <c r="J27" s="90"/>
      <c r="K27" s="90"/>
      <c r="L27" s="90"/>
      <c r="M27" s="90"/>
    </row>
    <row r="28" spans="1:13" s="83" customFormat="1" ht="15" customHeight="1">
      <c r="A28" s="86" t="s">
        <v>19</v>
      </c>
      <c r="B28" s="77"/>
      <c r="C28" s="77">
        <v>224000</v>
      </c>
      <c r="D28" s="77">
        <v>168800</v>
      </c>
      <c r="E28" s="77">
        <v>1036300</v>
      </c>
      <c r="F28" s="92"/>
      <c r="G28" s="77"/>
      <c r="H28" s="90">
        <f t="shared" si="0"/>
        <v>1429100</v>
      </c>
      <c r="I28" s="90"/>
      <c r="J28" s="90"/>
      <c r="K28" s="90"/>
      <c r="L28" s="90"/>
      <c r="M28" s="90"/>
    </row>
    <row r="29" spans="1:13" s="83" customFormat="1" ht="15" customHeight="1">
      <c r="A29" s="86" t="s">
        <v>20</v>
      </c>
      <c r="B29" s="77"/>
      <c r="C29" s="77">
        <v>253000</v>
      </c>
      <c r="D29" s="77">
        <v>173000</v>
      </c>
      <c r="E29" s="77">
        <v>0</v>
      </c>
      <c r="F29" s="92"/>
      <c r="G29" s="77"/>
      <c r="H29" s="90">
        <f t="shared" si="0"/>
        <v>426000</v>
      </c>
      <c r="I29" s="90"/>
      <c r="J29" s="90"/>
      <c r="K29" s="90"/>
      <c r="L29" s="90"/>
      <c r="M29" s="90"/>
    </row>
    <row r="30" spans="1:13" s="83" customFormat="1" ht="15" customHeight="1">
      <c r="A30" s="86" t="s">
        <v>21</v>
      </c>
      <c r="B30" s="77"/>
      <c r="C30" s="77">
        <v>232000</v>
      </c>
      <c r="D30" s="77">
        <v>178200</v>
      </c>
      <c r="E30" s="77">
        <v>0</v>
      </c>
      <c r="F30" s="92"/>
      <c r="G30" s="77"/>
      <c r="H30" s="90">
        <f t="shared" si="0"/>
        <v>410200</v>
      </c>
      <c r="I30" s="90"/>
      <c r="J30" s="90"/>
      <c r="K30" s="90"/>
      <c r="L30" s="90"/>
      <c r="M30" s="90"/>
    </row>
    <row r="31" spans="1:13" s="83" customFormat="1" ht="9" customHeight="1">
      <c r="A31" s="86"/>
      <c r="B31" s="77"/>
      <c r="C31" s="77"/>
      <c r="D31" s="77"/>
      <c r="E31" s="77"/>
      <c r="F31" s="77"/>
      <c r="G31" s="77"/>
      <c r="H31" s="89"/>
      <c r="I31" s="89"/>
      <c r="J31" s="89"/>
      <c r="K31" s="89"/>
      <c r="L31" s="89"/>
      <c r="M31" s="89"/>
    </row>
    <row r="32" spans="1:15" s="83" customFormat="1" ht="15" customHeight="1">
      <c r="A32" s="91" t="s">
        <v>22</v>
      </c>
      <c r="B32" s="91"/>
      <c r="C32" s="78">
        <f>SUM(C8:C31)</f>
        <v>9558000</v>
      </c>
      <c r="D32" s="78">
        <f>SUM(D8:D31)</f>
        <v>7228000</v>
      </c>
      <c r="E32" s="78">
        <f>SUM(E8:E31)</f>
        <v>5375000</v>
      </c>
      <c r="F32" s="78"/>
      <c r="G32" s="78"/>
      <c r="H32" s="78">
        <f>SUM(H8:H31)</f>
        <v>22161000</v>
      </c>
      <c r="I32" s="78"/>
      <c r="J32" s="87"/>
      <c r="K32" s="78">
        <f>SUM(K8:K31)</f>
        <v>0</v>
      </c>
      <c r="L32" s="78"/>
      <c r="M32" s="78">
        <f>SUM(M8:M31)</f>
        <v>0</v>
      </c>
      <c r="N32" s="172"/>
      <c r="O32" s="78">
        <f>SUM(O8:O31)</f>
        <v>0</v>
      </c>
    </row>
    <row r="33" spans="1:13" s="83" customFormat="1" ht="9" customHeight="1">
      <c r="A33" s="86"/>
      <c r="B33" s="77"/>
      <c r="C33" s="77"/>
      <c r="D33" s="77"/>
      <c r="E33" s="77"/>
      <c r="F33" s="77"/>
      <c r="G33" s="77"/>
      <c r="H33" s="89"/>
      <c r="I33" s="89"/>
      <c r="J33" s="89"/>
      <c r="K33" s="89"/>
      <c r="L33" s="89"/>
      <c r="M33" s="89"/>
    </row>
    <row r="34" spans="1:12" s="83" customFormat="1" ht="15" customHeight="1">
      <c r="A34" s="86" t="s">
        <v>23</v>
      </c>
      <c r="B34" s="77"/>
      <c r="C34" s="77">
        <v>142000</v>
      </c>
      <c r="D34" s="77">
        <v>0</v>
      </c>
      <c r="E34" s="77">
        <v>0</v>
      </c>
      <c r="F34" s="77"/>
      <c r="G34" s="77"/>
      <c r="H34" s="90">
        <f>SUM(C34:G34)</f>
        <v>142000</v>
      </c>
      <c r="I34" s="90"/>
      <c r="J34" s="90"/>
      <c r="K34" s="90"/>
      <c r="L34" s="90"/>
    </row>
    <row r="35" spans="1:13" s="83" customFormat="1" ht="15" customHeight="1">
      <c r="A35" s="86" t="s">
        <v>32</v>
      </c>
      <c r="B35" s="77"/>
      <c r="C35" s="77">
        <v>0</v>
      </c>
      <c r="D35" s="77">
        <v>0</v>
      </c>
      <c r="E35" s="77">
        <v>0</v>
      </c>
      <c r="F35" s="77"/>
      <c r="G35" s="77"/>
      <c r="H35" s="90">
        <f>SUM(C35:G35)</f>
        <v>0</v>
      </c>
      <c r="I35" s="90"/>
      <c r="J35" s="90"/>
      <c r="K35" s="90"/>
      <c r="L35" s="90"/>
      <c r="M35" s="90"/>
    </row>
    <row r="36" spans="1:13" s="83" customFormat="1" ht="15" customHeight="1">
      <c r="A36" s="86" t="s">
        <v>24</v>
      </c>
      <c r="B36" s="77"/>
      <c r="C36" s="77">
        <v>0</v>
      </c>
      <c r="D36" s="77">
        <v>0</v>
      </c>
      <c r="E36" s="77">
        <v>0</v>
      </c>
      <c r="F36" s="77"/>
      <c r="G36" s="77"/>
      <c r="H36" s="90">
        <f>SUM(C36:G36)</f>
        <v>0</v>
      </c>
      <c r="I36" s="90"/>
      <c r="J36" s="90"/>
      <c r="K36" s="90"/>
      <c r="L36" s="90"/>
      <c r="M36" s="90"/>
    </row>
    <row r="37" spans="1:13" s="83" customFormat="1" ht="15" customHeight="1">
      <c r="A37" s="86" t="s">
        <v>25</v>
      </c>
      <c r="B37" s="77"/>
      <c r="C37" s="77">
        <v>0</v>
      </c>
      <c r="D37" s="77">
        <v>0</v>
      </c>
      <c r="E37" s="77">
        <v>0</v>
      </c>
      <c r="F37" s="77"/>
      <c r="G37" s="77"/>
      <c r="H37" s="90">
        <f>SUM(C37:G37)</f>
        <v>0</v>
      </c>
      <c r="I37" s="90"/>
      <c r="J37" s="90"/>
      <c r="K37" s="90"/>
      <c r="L37" s="90"/>
      <c r="M37" s="90"/>
    </row>
    <row r="38" spans="1:15" s="83" customFormat="1" ht="15" customHeight="1">
      <c r="A38" s="86" t="s">
        <v>26</v>
      </c>
      <c r="B38" s="77"/>
      <c r="C38" s="77">
        <v>0</v>
      </c>
      <c r="D38" s="77">
        <v>0</v>
      </c>
      <c r="E38" s="77">
        <v>0</v>
      </c>
      <c r="F38" s="77"/>
      <c r="G38" s="77"/>
      <c r="H38" s="90">
        <f>SUM(C38:G38)</f>
        <v>0</v>
      </c>
      <c r="I38" s="90"/>
      <c r="J38" s="90"/>
      <c r="K38" s="90">
        <v>305000000</v>
      </c>
      <c r="L38" s="90"/>
      <c r="M38" s="90">
        <f>60552000</f>
        <v>60552000</v>
      </c>
      <c r="O38" s="83">
        <f>K38+M38</f>
        <v>365552000</v>
      </c>
    </row>
    <row r="39" spans="1:13" s="83" customFormat="1" ht="7.5" customHeight="1">
      <c r="A39" s="86"/>
      <c r="B39" s="77"/>
      <c r="C39" s="77"/>
      <c r="D39" s="77"/>
      <c r="E39" s="77"/>
      <c r="F39" s="77"/>
      <c r="G39" s="77"/>
      <c r="H39" s="89"/>
      <c r="I39" s="89"/>
      <c r="J39" s="89"/>
      <c r="K39" s="89"/>
      <c r="L39" s="89"/>
      <c r="M39" s="89"/>
    </row>
    <row r="40" spans="1:15" s="83" customFormat="1" ht="15" customHeight="1" thickBot="1">
      <c r="A40" s="88" t="s">
        <v>27</v>
      </c>
      <c r="B40" s="88"/>
      <c r="C40" s="79">
        <f>SUM(C32:C38)</f>
        <v>9700000</v>
      </c>
      <c r="D40" s="79">
        <f>SUM(D32:D38)</f>
        <v>7228000</v>
      </c>
      <c r="E40" s="79">
        <f>SUM(E32:E38)</f>
        <v>5375000</v>
      </c>
      <c r="F40" s="79"/>
      <c r="G40" s="79"/>
      <c r="H40" s="79">
        <f>SUM(H32:H38)</f>
        <v>22303000</v>
      </c>
      <c r="I40" s="79"/>
      <c r="J40" s="87"/>
      <c r="K40" s="79">
        <f>SUM(K32:K38)</f>
        <v>305000000</v>
      </c>
      <c r="L40" s="79"/>
      <c r="M40" s="79">
        <f>SUM(M32:M38)</f>
        <v>60552000</v>
      </c>
      <c r="N40" s="173"/>
      <c r="O40" s="79">
        <f>SUM(O32:O38)</f>
        <v>365552000</v>
      </c>
    </row>
    <row r="41" spans="1:13" s="179" customFormat="1" ht="17.25" customHeight="1">
      <c r="A41" s="176"/>
      <c r="B41" s="176"/>
      <c r="C41" s="177"/>
      <c r="D41" s="178"/>
      <c r="E41" s="178"/>
      <c r="F41" s="178"/>
      <c r="G41" s="178"/>
      <c r="J41" s="123"/>
      <c r="K41" s="181"/>
      <c r="L41" s="181"/>
      <c r="M41" s="123"/>
    </row>
    <row r="42" spans="1:13" s="83" customFormat="1" ht="18.75" customHeight="1">
      <c r="A42" s="175" t="s">
        <v>76</v>
      </c>
      <c r="B42" s="174"/>
      <c r="C42" s="174"/>
      <c r="D42" s="174"/>
      <c r="E42" s="174"/>
      <c r="F42" s="174"/>
      <c r="G42" s="174"/>
      <c r="H42" s="174"/>
      <c r="I42" s="149"/>
      <c r="J42" s="189"/>
      <c r="K42" s="165"/>
      <c r="L42" s="174"/>
      <c r="M42" s="122"/>
    </row>
    <row r="43" spans="1:13" s="83" customFormat="1" ht="18.75" customHeight="1">
      <c r="A43" s="175" t="s">
        <v>75</v>
      </c>
      <c r="B43" s="174"/>
      <c r="C43" s="174"/>
      <c r="D43" s="174"/>
      <c r="E43" s="174"/>
      <c r="F43" s="174"/>
      <c r="G43" s="174"/>
      <c r="H43" s="174"/>
      <c r="I43" s="174"/>
      <c r="J43" s="189"/>
      <c r="K43" s="174"/>
      <c r="L43" s="174"/>
      <c r="M43" s="122"/>
    </row>
    <row r="44" spans="1:15" s="83" customFormat="1" ht="34.5" customHeight="1">
      <c r="A44" s="259" t="s">
        <v>74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</row>
    <row r="45" spans="1:13" s="83" customFormat="1" ht="15">
      <c r="A45" s="85"/>
      <c r="B45" s="84"/>
      <c r="D45" s="82"/>
      <c r="E45" s="82"/>
      <c r="F45" s="82"/>
      <c r="G45" s="82"/>
      <c r="J45" s="122"/>
      <c r="M45" s="122"/>
    </row>
    <row r="46" spans="1:13" s="83" customFormat="1" ht="15">
      <c r="A46" s="85"/>
      <c r="B46" s="84"/>
      <c r="D46" s="82"/>
      <c r="E46" s="82"/>
      <c r="F46" s="82"/>
      <c r="G46" s="82"/>
      <c r="J46" s="122"/>
      <c r="M46" s="122"/>
    </row>
  </sheetData>
  <sheetProtection/>
  <mergeCells count="5">
    <mergeCell ref="A44:O44"/>
    <mergeCell ref="G6:I6"/>
    <mergeCell ref="C4:H4"/>
    <mergeCell ref="G5:I5"/>
    <mergeCell ref="K4:K5"/>
  </mergeCells>
  <printOptions/>
  <pageMargins left="0.5" right="0.25" top="0.25" bottom="0.25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33203125" defaultRowHeight="12.75"/>
  <cols>
    <col min="1" max="1" width="36.16015625" style="125" customWidth="1"/>
    <col min="2" max="2" width="14.66015625" style="125" bestFit="1" customWidth="1"/>
    <col min="3" max="3" width="31.16015625" style="126" customWidth="1"/>
    <col min="4" max="4" width="14.5" style="125" bestFit="1" customWidth="1"/>
    <col min="5" max="5" width="3.16015625" style="125" customWidth="1"/>
    <col min="6" max="6" width="14.5" style="125" bestFit="1" customWidth="1"/>
    <col min="7" max="7" width="3.16015625" style="125" customWidth="1"/>
    <col min="8" max="8" width="14.5" style="125" bestFit="1" customWidth="1"/>
    <col min="9" max="9" width="3.5" style="125" customWidth="1"/>
    <col min="10" max="10" width="14.5" style="126" bestFit="1" customWidth="1"/>
    <col min="11" max="11" width="9.33203125" style="125" customWidth="1"/>
    <col min="12" max="12" width="17" style="125" bestFit="1" customWidth="1"/>
    <col min="13" max="13" width="15.83203125" style="125" bestFit="1" customWidth="1"/>
    <col min="14" max="14" width="17" style="125" bestFit="1" customWidth="1"/>
    <col min="15" max="16384" width="9.33203125" style="125" customWidth="1"/>
  </cols>
  <sheetData>
    <row r="1" ht="16.5">
      <c r="A1" s="124" t="s">
        <v>68</v>
      </c>
    </row>
    <row r="2" ht="15.75">
      <c r="A2" s="127" t="s">
        <v>107</v>
      </c>
    </row>
    <row r="3" ht="15.75">
      <c r="A3" s="160"/>
    </row>
    <row r="4" spans="1:10" s="126" customFormat="1" ht="21" customHeight="1">
      <c r="A4" s="128"/>
      <c r="B4" s="129"/>
      <c r="C4" s="128"/>
      <c r="D4" s="264" t="s">
        <v>37</v>
      </c>
      <c r="E4" s="264"/>
      <c r="F4" s="264"/>
      <c r="G4" s="264"/>
      <c r="H4" s="264"/>
      <c r="I4" s="264"/>
      <c r="J4" s="264"/>
    </row>
    <row r="5" spans="1:10" s="131" customFormat="1" ht="50.25">
      <c r="A5" s="130" t="s">
        <v>38</v>
      </c>
      <c r="B5" s="130" t="s">
        <v>39</v>
      </c>
      <c r="C5" s="130"/>
      <c r="D5" s="190">
        <v>40360</v>
      </c>
      <c r="E5" s="190"/>
      <c r="F5" s="190">
        <v>40452</v>
      </c>
      <c r="G5" s="190"/>
      <c r="H5" s="190">
        <v>40544</v>
      </c>
      <c r="I5" s="190"/>
      <c r="J5" s="190">
        <v>40634</v>
      </c>
    </row>
    <row r="6" spans="1:9" ht="15.75">
      <c r="A6" s="132"/>
      <c r="B6" s="126"/>
      <c r="D6" s="126"/>
      <c r="E6" s="126"/>
      <c r="F6" s="126"/>
      <c r="G6" s="126"/>
      <c r="H6" s="126"/>
      <c r="I6" s="126"/>
    </row>
    <row r="7" spans="1:10" ht="15.75">
      <c r="A7" s="133" t="s">
        <v>0</v>
      </c>
      <c r="B7" s="134">
        <v>122500</v>
      </c>
      <c r="C7" s="133"/>
      <c r="D7" s="133">
        <f>ROUND(B7/4,2)</f>
        <v>30625</v>
      </c>
      <c r="E7" s="133"/>
      <c r="F7" s="133">
        <f aca="true" t="shared" si="0" ref="F7:F29">D7</f>
        <v>30625</v>
      </c>
      <c r="G7" s="133"/>
      <c r="H7" s="133">
        <f aca="true" t="shared" si="1" ref="H7:H29">F7</f>
        <v>30625</v>
      </c>
      <c r="I7" s="133"/>
      <c r="J7" s="133">
        <f aca="true" t="shared" si="2" ref="J7:J29">H7</f>
        <v>30625</v>
      </c>
    </row>
    <row r="8" spans="1:10" ht="15.75">
      <c r="A8" s="135" t="s">
        <v>1</v>
      </c>
      <c r="B8" s="136">
        <v>55200</v>
      </c>
      <c r="C8" s="137"/>
      <c r="D8" s="137">
        <f aca="true" t="shared" si="3" ref="D8:D29">ROUND(B8/4,2)</f>
        <v>13800</v>
      </c>
      <c r="E8" s="137"/>
      <c r="F8" s="137">
        <f t="shared" si="0"/>
        <v>13800</v>
      </c>
      <c r="G8" s="137"/>
      <c r="H8" s="137">
        <f t="shared" si="1"/>
        <v>13800</v>
      </c>
      <c r="I8" s="137"/>
      <c r="J8" s="137">
        <f t="shared" si="2"/>
        <v>13800</v>
      </c>
    </row>
    <row r="9" spans="1:10" ht="15.75">
      <c r="A9" s="135" t="s">
        <v>2</v>
      </c>
      <c r="B9" s="136">
        <v>269300</v>
      </c>
      <c r="C9" s="137"/>
      <c r="D9" s="137">
        <f t="shared" si="3"/>
        <v>67325</v>
      </c>
      <c r="E9" s="137"/>
      <c r="F9" s="137">
        <f t="shared" si="0"/>
        <v>67325</v>
      </c>
      <c r="G9" s="137"/>
      <c r="H9" s="137">
        <f t="shared" si="1"/>
        <v>67325</v>
      </c>
      <c r="I9" s="137"/>
      <c r="J9" s="137">
        <f t="shared" si="2"/>
        <v>67325</v>
      </c>
    </row>
    <row r="10" spans="1:10" ht="15.75">
      <c r="A10" s="135" t="s">
        <v>3</v>
      </c>
      <c r="B10" s="136">
        <v>189500</v>
      </c>
      <c r="C10" s="137"/>
      <c r="D10" s="137">
        <f t="shared" si="3"/>
        <v>47375</v>
      </c>
      <c r="E10" s="137"/>
      <c r="F10" s="137">
        <f t="shared" si="0"/>
        <v>47375</v>
      </c>
      <c r="G10" s="137"/>
      <c r="H10" s="137">
        <f t="shared" si="1"/>
        <v>47375</v>
      </c>
      <c r="I10" s="137"/>
      <c r="J10" s="137">
        <f t="shared" si="2"/>
        <v>47375</v>
      </c>
    </row>
    <row r="11" spans="1:10" ht="15.75">
      <c r="A11" s="135" t="s">
        <v>29</v>
      </c>
      <c r="B11" s="136">
        <v>274800</v>
      </c>
      <c r="C11" s="137"/>
      <c r="D11" s="137">
        <f t="shared" si="3"/>
        <v>68700</v>
      </c>
      <c r="E11" s="137"/>
      <c r="F11" s="137">
        <f t="shared" si="0"/>
        <v>68700</v>
      </c>
      <c r="G11" s="137"/>
      <c r="H11" s="137">
        <f t="shared" si="1"/>
        <v>68700</v>
      </c>
      <c r="I11" s="137"/>
      <c r="J11" s="137">
        <f t="shared" si="2"/>
        <v>68700</v>
      </c>
    </row>
    <row r="12" spans="1:10" ht="15.75">
      <c r="A12" s="135" t="s">
        <v>4</v>
      </c>
      <c r="B12" s="136">
        <v>359700</v>
      </c>
      <c r="C12" s="137"/>
      <c r="D12" s="137">
        <f t="shared" si="3"/>
        <v>89925</v>
      </c>
      <c r="E12" s="137"/>
      <c r="F12" s="137">
        <f t="shared" si="0"/>
        <v>89925</v>
      </c>
      <c r="G12" s="137"/>
      <c r="H12" s="137">
        <f t="shared" si="1"/>
        <v>89925</v>
      </c>
      <c r="I12" s="137"/>
      <c r="J12" s="137">
        <f t="shared" si="2"/>
        <v>89925</v>
      </c>
    </row>
    <row r="13" spans="1:10" ht="15.75">
      <c r="A13" s="135" t="s">
        <v>5</v>
      </c>
      <c r="B13" s="136">
        <v>603700</v>
      </c>
      <c r="C13" s="137"/>
      <c r="D13" s="137">
        <f t="shared" si="3"/>
        <v>150925</v>
      </c>
      <c r="E13" s="137"/>
      <c r="F13" s="137">
        <f t="shared" si="0"/>
        <v>150925</v>
      </c>
      <c r="G13" s="137"/>
      <c r="H13" s="137">
        <f t="shared" si="1"/>
        <v>150925</v>
      </c>
      <c r="I13" s="137"/>
      <c r="J13" s="137">
        <f t="shared" si="2"/>
        <v>150925</v>
      </c>
    </row>
    <row r="14" spans="1:10" ht="15.75">
      <c r="A14" s="135" t="s">
        <v>6</v>
      </c>
      <c r="B14" s="136">
        <v>132500</v>
      </c>
      <c r="C14" s="137"/>
      <c r="D14" s="137">
        <f t="shared" si="3"/>
        <v>33125</v>
      </c>
      <c r="E14" s="137"/>
      <c r="F14" s="137">
        <f t="shared" si="0"/>
        <v>33125</v>
      </c>
      <c r="G14" s="137"/>
      <c r="H14" s="137">
        <f t="shared" si="1"/>
        <v>33125</v>
      </c>
      <c r="I14" s="137"/>
      <c r="J14" s="137">
        <f t="shared" si="2"/>
        <v>33125</v>
      </c>
    </row>
    <row r="15" spans="1:10" ht="15.75">
      <c r="A15" s="135" t="s">
        <v>7</v>
      </c>
      <c r="B15" s="136">
        <v>619300</v>
      </c>
      <c r="C15" s="137"/>
      <c r="D15" s="137">
        <f t="shared" si="3"/>
        <v>154825</v>
      </c>
      <c r="E15" s="137"/>
      <c r="F15" s="137">
        <f t="shared" si="0"/>
        <v>154825</v>
      </c>
      <c r="G15" s="137"/>
      <c r="H15" s="137">
        <f t="shared" si="1"/>
        <v>154825</v>
      </c>
      <c r="I15" s="137"/>
      <c r="J15" s="137">
        <f t="shared" si="2"/>
        <v>154825</v>
      </c>
    </row>
    <row r="16" spans="1:10" ht="15.75">
      <c r="A16" s="135" t="s">
        <v>8</v>
      </c>
      <c r="B16" s="136">
        <v>355300</v>
      </c>
      <c r="C16" s="137"/>
      <c r="D16" s="137">
        <f t="shared" si="3"/>
        <v>88825</v>
      </c>
      <c r="E16" s="137"/>
      <c r="F16" s="137">
        <f t="shared" si="0"/>
        <v>88825</v>
      </c>
      <c r="G16" s="137"/>
      <c r="H16" s="137">
        <f t="shared" si="1"/>
        <v>88825</v>
      </c>
      <c r="I16" s="137"/>
      <c r="J16" s="137">
        <f t="shared" si="2"/>
        <v>88825</v>
      </c>
    </row>
    <row r="17" spans="1:10" ht="15.75">
      <c r="A17" s="135" t="s">
        <v>9</v>
      </c>
      <c r="B17" s="136">
        <v>23500</v>
      </c>
      <c r="C17" s="137"/>
      <c r="D17" s="137">
        <f t="shared" si="3"/>
        <v>5875</v>
      </c>
      <c r="E17" s="137"/>
      <c r="F17" s="137">
        <f t="shared" si="0"/>
        <v>5875</v>
      </c>
      <c r="G17" s="137"/>
      <c r="H17" s="137">
        <f t="shared" si="1"/>
        <v>5875</v>
      </c>
      <c r="I17" s="137"/>
      <c r="J17" s="137">
        <f t="shared" si="2"/>
        <v>5875</v>
      </c>
    </row>
    <row r="18" spans="1:10" ht="15.75">
      <c r="A18" s="135" t="s">
        <v>10</v>
      </c>
      <c r="B18" s="136">
        <v>64300</v>
      </c>
      <c r="C18" s="137"/>
      <c r="D18" s="137">
        <f t="shared" si="3"/>
        <v>16075</v>
      </c>
      <c r="E18" s="137"/>
      <c r="F18" s="137">
        <f t="shared" si="0"/>
        <v>16075</v>
      </c>
      <c r="G18" s="137"/>
      <c r="H18" s="137">
        <f t="shared" si="1"/>
        <v>16075</v>
      </c>
      <c r="I18" s="137"/>
      <c r="J18" s="137">
        <f t="shared" si="2"/>
        <v>16075</v>
      </c>
    </row>
    <row r="19" spans="1:10" ht="15.75">
      <c r="A19" s="135" t="s">
        <v>11</v>
      </c>
      <c r="B19" s="136">
        <v>593000</v>
      </c>
      <c r="C19" s="137"/>
      <c r="D19" s="137">
        <f t="shared" si="3"/>
        <v>148250</v>
      </c>
      <c r="E19" s="137"/>
      <c r="F19" s="137">
        <f t="shared" si="0"/>
        <v>148250</v>
      </c>
      <c r="G19" s="137"/>
      <c r="H19" s="137">
        <f t="shared" si="1"/>
        <v>148250</v>
      </c>
      <c r="I19" s="137"/>
      <c r="J19" s="137">
        <f t="shared" si="2"/>
        <v>148250</v>
      </c>
    </row>
    <row r="20" spans="1:10" ht="15.75">
      <c r="A20" s="135" t="s">
        <v>12</v>
      </c>
      <c r="B20" s="136">
        <v>329700</v>
      </c>
      <c r="C20" s="137"/>
      <c r="D20" s="137">
        <f t="shared" si="3"/>
        <v>82425</v>
      </c>
      <c r="E20" s="137"/>
      <c r="F20" s="137">
        <f t="shared" si="0"/>
        <v>82425</v>
      </c>
      <c r="G20" s="137"/>
      <c r="H20" s="137">
        <f t="shared" si="1"/>
        <v>82425</v>
      </c>
      <c r="I20" s="137"/>
      <c r="J20" s="137">
        <f t="shared" si="2"/>
        <v>82425</v>
      </c>
    </row>
    <row r="21" spans="1:10" ht="15.75">
      <c r="A21" s="135" t="s">
        <v>13</v>
      </c>
      <c r="B21" s="136">
        <v>451000</v>
      </c>
      <c r="C21" s="137"/>
      <c r="D21" s="137">
        <f t="shared" si="3"/>
        <v>112750</v>
      </c>
      <c r="E21" s="137"/>
      <c r="F21" s="137">
        <f t="shared" si="0"/>
        <v>112750</v>
      </c>
      <c r="G21" s="137"/>
      <c r="H21" s="137">
        <f t="shared" si="1"/>
        <v>112750</v>
      </c>
      <c r="I21" s="137"/>
      <c r="J21" s="137">
        <f t="shared" si="2"/>
        <v>112750</v>
      </c>
    </row>
    <row r="22" spans="1:10" ht="15.75">
      <c r="A22" s="135" t="s">
        <v>14</v>
      </c>
      <c r="B22" s="136">
        <v>297900</v>
      </c>
      <c r="C22" s="137"/>
      <c r="D22" s="137">
        <f t="shared" si="3"/>
        <v>74475</v>
      </c>
      <c r="E22" s="137"/>
      <c r="F22" s="137">
        <f t="shared" si="0"/>
        <v>74475</v>
      </c>
      <c r="G22" s="137"/>
      <c r="H22" s="137">
        <f t="shared" si="1"/>
        <v>74475</v>
      </c>
      <c r="I22" s="137"/>
      <c r="J22" s="137">
        <f t="shared" si="2"/>
        <v>74475</v>
      </c>
    </row>
    <row r="23" spans="1:10" ht="15.75">
      <c r="A23" s="135" t="s">
        <v>15</v>
      </c>
      <c r="B23" s="136">
        <v>608200</v>
      </c>
      <c r="C23" s="137"/>
      <c r="D23" s="137">
        <f t="shared" si="3"/>
        <v>152050</v>
      </c>
      <c r="E23" s="137"/>
      <c r="F23" s="137">
        <f t="shared" si="0"/>
        <v>152050</v>
      </c>
      <c r="G23" s="137"/>
      <c r="H23" s="137">
        <f t="shared" si="1"/>
        <v>152050</v>
      </c>
      <c r="I23" s="137"/>
      <c r="J23" s="137">
        <f t="shared" si="2"/>
        <v>152050</v>
      </c>
    </row>
    <row r="24" spans="1:10" ht="15.75">
      <c r="A24" s="135" t="s">
        <v>16</v>
      </c>
      <c r="B24" s="136">
        <v>542400</v>
      </c>
      <c r="C24" s="137"/>
      <c r="D24" s="137">
        <f t="shared" si="3"/>
        <v>135600</v>
      </c>
      <c r="E24" s="137"/>
      <c r="F24" s="137">
        <f t="shared" si="0"/>
        <v>135600</v>
      </c>
      <c r="G24" s="137"/>
      <c r="H24" s="137">
        <f t="shared" si="1"/>
        <v>135600</v>
      </c>
      <c r="I24" s="137"/>
      <c r="J24" s="137">
        <f t="shared" si="2"/>
        <v>135600</v>
      </c>
    </row>
    <row r="25" spans="1:10" ht="15.75">
      <c r="A25" s="135" t="s">
        <v>17</v>
      </c>
      <c r="B25" s="136">
        <v>538500</v>
      </c>
      <c r="C25" s="137"/>
      <c r="D25" s="137">
        <f t="shared" si="3"/>
        <v>134625</v>
      </c>
      <c r="E25" s="137"/>
      <c r="F25" s="137">
        <f t="shared" si="0"/>
        <v>134625</v>
      </c>
      <c r="G25" s="137"/>
      <c r="H25" s="137">
        <f t="shared" si="1"/>
        <v>134625</v>
      </c>
      <c r="I25" s="137"/>
      <c r="J25" s="137">
        <f t="shared" si="2"/>
        <v>134625</v>
      </c>
    </row>
    <row r="26" spans="1:10" ht="15.75">
      <c r="A26" s="135" t="s">
        <v>18</v>
      </c>
      <c r="B26" s="136">
        <v>398000</v>
      </c>
      <c r="C26" s="137"/>
      <c r="D26" s="137">
        <f t="shared" si="3"/>
        <v>99500</v>
      </c>
      <c r="E26" s="137"/>
      <c r="F26" s="137">
        <f t="shared" si="0"/>
        <v>99500</v>
      </c>
      <c r="G26" s="137"/>
      <c r="H26" s="137">
        <f t="shared" si="1"/>
        <v>99500</v>
      </c>
      <c r="I26" s="137"/>
      <c r="J26" s="137">
        <f t="shared" si="2"/>
        <v>99500</v>
      </c>
    </row>
    <row r="27" spans="1:10" ht="15.75">
      <c r="A27" s="135" t="s">
        <v>19</v>
      </c>
      <c r="B27" s="136">
        <v>145600</v>
      </c>
      <c r="C27" s="137"/>
      <c r="D27" s="137">
        <f t="shared" si="3"/>
        <v>36400</v>
      </c>
      <c r="E27" s="137"/>
      <c r="F27" s="137">
        <f t="shared" si="0"/>
        <v>36400</v>
      </c>
      <c r="G27" s="137"/>
      <c r="H27" s="137">
        <f t="shared" si="1"/>
        <v>36400</v>
      </c>
      <c r="I27" s="137"/>
      <c r="J27" s="137">
        <f t="shared" si="2"/>
        <v>36400</v>
      </c>
    </row>
    <row r="28" spans="1:10" ht="15.75">
      <c r="A28" s="135" t="s">
        <v>20</v>
      </c>
      <c r="B28" s="136">
        <v>132500</v>
      </c>
      <c r="C28" s="137"/>
      <c r="D28" s="137">
        <f t="shared" si="3"/>
        <v>33125</v>
      </c>
      <c r="E28" s="137"/>
      <c r="F28" s="137">
        <f t="shared" si="0"/>
        <v>33125</v>
      </c>
      <c r="G28" s="137"/>
      <c r="H28" s="137">
        <f t="shared" si="1"/>
        <v>33125</v>
      </c>
      <c r="I28" s="137"/>
      <c r="J28" s="137">
        <f t="shared" si="2"/>
        <v>33125</v>
      </c>
    </row>
    <row r="29" spans="1:10" ht="15.75">
      <c r="A29" s="135" t="s">
        <v>21</v>
      </c>
      <c r="B29" s="138">
        <v>133100</v>
      </c>
      <c r="C29" s="137"/>
      <c r="D29" s="139">
        <f t="shared" si="3"/>
        <v>33275</v>
      </c>
      <c r="E29" s="137"/>
      <c r="F29" s="139">
        <f t="shared" si="0"/>
        <v>33275</v>
      </c>
      <c r="G29" s="137"/>
      <c r="H29" s="139">
        <f t="shared" si="1"/>
        <v>33275</v>
      </c>
      <c r="I29" s="137"/>
      <c r="J29" s="139">
        <f t="shared" si="2"/>
        <v>33275</v>
      </c>
    </row>
    <row r="30" spans="1:9" ht="9" customHeight="1">
      <c r="A30" s="135"/>
      <c r="B30" s="126"/>
      <c r="D30" s="126"/>
      <c r="E30" s="126"/>
      <c r="F30" s="126"/>
      <c r="G30" s="126"/>
      <c r="H30" s="126"/>
      <c r="I30" s="126"/>
    </row>
    <row r="31" spans="1:10" s="141" customFormat="1" ht="15.75">
      <c r="A31" s="140" t="s">
        <v>40</v>
      </c>
      <c r="B31" s="140">
        <f>SUM(B7:B29)</f>
        <v>7239500</v>
      </c>
      <c r="C31" s="140"/>
      <c r="D31" s="140">
        <f>SUM(D7:D30)</f>
        <v>1809875</v>
      </c>
      <c r="E31" s="140"/>
      <c r="F31" s="140">
        <f>SUM(F7:F30)</f>
        <v>1809875</v>
      </c>
      <c r="G31" s="140"/>
      <c r="H31" s="140">
        <f>SUM(H7:H30)</f>
        <v>1809875</v>
      </c>
      <c r="I31" s="140"/>
      <c r="J31" s="140">
        <f>SUM(J7:J30)</f>
        <v>1809875</v>
      </c>
    </row>
    <row r="32" spans="1:14" ht="15.75">
      <c r="A32" s="135"/>
      <c r="B32" s="126"/>
      <c r="D32" s="126"/>
      <c r="E32" s="126"/>
      <c r="F32" s="126"/>
      <c r="G32" s="126"/>
      <c r="H32" s="126"/>
      <c r="I32" s="126"/>
      <c r="L32" s="161"/>
      <c r="M32" s="161"/>
      <c r="N32" s="161"/>
    </row>
    <row r="33" spans="12:14" ht="15.75">
      <c r="L33" s="162"/>
      <c r="M33" s="162"/>
      <c r="N33" s="162"/>
    </row>
    <row r="34" spans="1:10" ht="49.5" customHeight="1">
      <c r="A34" s="265" t="s">
        <v>94</v>
      </c>
      <c r="B34" s="266"/>
      <c r="C34" s="266"/>
      <c r="D34" s="266"/>
      <c r="E34" s="266"/>
      <c r="F34" s="266"/>
      <c r="G34" s="266"/>
      <c r="H34" s="266"/>
      <c r="I34" s="266"/>
      <c r="J34" s="266"/>
    </row>
    <row r="35" spans="1:10" ht="30.75" customHeight="1">
      <c r="A35" s="267" t="s">
        <v>54</v>
      </c>
      <c r="B35" s="267"/>
      <c r="C35" s="267"/>
      <c r="D35" s="267"/>
      <c r="E35" s="267"/>
      <c r="F35" s="267"/>
      <c r="G35" s="267"/>
      <c r="H35" s="267"/>
      <c r="I35" s="267"/>
      <c r="J35" s="267"/>
    </row>
  </sheetData>
  <sheetProtection/>
  <mergeCells count="3">
    <mergeCell ref="D4:J4"/>
    <mergeCell ref="A34:J34"/>
    <mergeCell ref="A35:J35"/>
  </mergeCells>
  <printOptions/>
  <pageMargins left="0.75" right="0.5" top="0.5" bottom="0.5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33203125" defaultRowHeight="12.75"/>
  <cols>
    <col min="1" max="1" width="24.16015625" style="194" customWidth="1"/>
    <col min="2" max="2" width="12.83203125" style="194" bestFit="1" customWidth="1"/>
    <col min="3" max="3" width="16.5" style="194" customWidth="1"/>
    <col min="4" max="4" width="18" style="194" bestFit="1" customWidth="1"/>
    <col min="5" max="6" width="16.5" style="194" customWidth="1"/>
    <col min="7" max="7" width="12.83203125" style="194" bestFit="1" customWidth="1"/>
    <col min="8" max="9" width="16.5" style="194" customWidth="1"/>
    <col min="10" max="10" width="16.33203125" style="194" bestFit="1" customWidth="1"/>
    <col min="11" max="11" width="12.83203125" style="194" bestFit="1" customWidth="1"/>
    <col min="12" max="12" width="16.5" style="194" customWidth="1"/>
    <col min="13" max="13" width="17.66015625" style="194" bestFit="1" customWidth="1"/>
    <col min="14" max="15" width="16.5" style="194" customWidth="1"/>
    <col min="16" max="16" width="18.33203125" style="194" customWidth="1"/>
    <col min="17" max="16384" width="9.33203125" style="194" customWidth="1"/>
  </cols>
  <sheetData>
    <row r="1" s="192" customFormat="1" ht="16.5">
      <c r="A1" s="191" t="s">
        <v>104</v>
      </c>
    </row>
    <row r="2" s="192" customFormat="1" ht="15.75">
      <c r="A2" s="127" t="s">
        <v>106</v>
      </c>
    </row>
    <row r="3" spans="1:15" ht="19.5" thickBot="1">
      <c r="A3" s="193"/>
      <c r="C3" s="195">
        <v>-1</v>
      </c>
      <c r="D3" s="195">
        <v>-2</v>
      </c>
      <c r="E3" s="195">
        <v>-3</v>
      </c>
      <c r="F3" s="195">
        <v>-4</v>
      </c>
      <c r="H3" s="195">
        <v>-5</v>
      </c>
      <c r="I3" s="195">
        <v>-6</v>
      </c>
      <c r="J3" s="195">
        <v>-7</v>
      </c>
      <c r="K3" s="195"/>
      <c r="L3" s="195">
        <v>-8</v>
      </c>
      <c r="M3" s="195">
        <v>-9</v>
      </c>
      <c r="N3" s="195">
        <v>-10</v>
      </c>
      <c r="O3" s="195">
        <v>-11</v>
      </c>
    </row>
    <row r="4" spans="1:16" ht="18.75" thickBot="1">
      <c r="A4" s="196"/>
      <c r="B4" s="268" t="s">
        <v>98</v>
      </c>
      <c r="C4" s="269"/>
      <c r="D4" s="269"/>
      <c r="E4" s="269"/>
      <c r="F4" s="270"/>
      <c r="G4" s="268" t="s">
        <v>115</v>
      </c>
      <c r="H4" s="269"/>
      <c r="I4" s="269"/>
      <c r="J4" s="270"/>
      <c r="K4" s="268" t="s">
        <v>99</v>
      </c>
      <c r="L4" s="269"/>
      <c r="M4" s="269"/>
      <c r="N4" s="269"/>
      <c r="O4" s="269"/>
      <c r="P4" s="197" t="s">
        <v>109</v>
      </c>
    </row>
    <row r="5" spans="1:16" s="203" customFormat="1" ht="60" customHeight="1" thickBot="1">
      <c r="A5" s="198" t="s">
        <v>38</v>
      </c>
      <c r="B5" s="199" t="s">
        <v>84</v>
      </c>
      <c r="C5" s="251" t="s">
        <v>110</v>
      </c>
      <c r="D5" s="200" t="s">
        <v>85</v>
      </c>
      <c r="E5" s="200" t="s">
        <v>101</v>
      </c>
      <c r="F5" s="200" t="s">
        <v>100</v>
      </c>
      <c r="G5" s="199" t="s">
        <v>119</v>
      </c>
      <c r="H5" s="251" t="s">
        <v>111</v>
      </c>
      <c r="I5" s="200" t="s">
        <v>101</v>
      </c>
      <c r="J5" s="201" t="s">
        <v>100</v>
      </c>
      <c r="K5" s="200" t="s">
        <v>119</v>
      </c>
      <c r="L5" s="251" t="s">
        <v>102</v>
      </c>
      <c r="M5" s="200" t="s">
        <v>103</v>
      </c>
      <c r="N5" s="200" t="s">
        <v>101</v>
      </c>
      <c r="O5" s="201" t="s">
        <v>100</v>
      </c>
      <c r="P5" s="202" t="s">
        <v>105</v>
      </c>
    </row>
    <row r="6" spans="1:16" s="203" customFormat="1" ht="15" customHeight="1">
      <c r="A6" s="204"/>
      <c r="B6" s="205"/>
      <c r="C6" s="206"/>
      <c r="D6" s="206"/>
      <c r="E6" s="206"/>
      <c r="F6" s="206"/>
      <c r="G6" s="205"/>
      <c r="H6" s="206"/>
      <c r="I6" s="206"/>
      <c r="J6" s="207"/>
      <c r="K6" s="206"/>
      <c r="L6" s="208" t="s">
        <v>86</v>
      </c>
      <c r="M6" s="209" t="s">
        <v>87</v>
      </c>
      <c r="N6" s="208" t="s">
        <v>88</v>
      </c>
      <c r="O6" s="208" t="s">
        <v>89</v>
      </c>
      <c r="P6" s="210" t="s">
        <v>90</v>
      </c>
    </row>
    <row r="7" spans="1:16" s="203" customFormat="1" ht="8.25" customHeight="1">
      <c r="A7" s="204"/>
      <c r="B7" s="205"/>
      <c r="C7" s="206"/>
      <c r="D7" s="206"/>
      <c r="E7" s="206"/>
      <c r="F7" s="206"/>
      <c r="G7" s="205"/>
      <c r="H7" s="206"/>
      <c r="I7" s="206"/>
      <c r="J7" s="207"/>
      <c r="K7" s="206"/>
      <c r="L7" s="206"/>
      <c r="M7" s="206"/>
      <c r="N7" s="206"/>
      <c r="O7" s="206"/>
      <c r="P7" s="204"/>
    </row>
    <row r="8" spans="1:16" ht="15">
      <c r="A8" s="211" t="s">
        <v>0</v>
      </c>
      <c r="B8" s="212">
        <v>6472</v>
      </c>
      <c r="C8" s="213">
        <v>-71000</v>
      </c>
      <c r="D8" s="213">
        <v>-1556000</v>
      </c>
      <c r="E8" s="213">
        <v>277000</v>
      </c>
      <c r="F8" s="214">
        <v>2759000</v>
      </c>
      <c r="G8" s="215">
        <v>98</v>
      </c>
      <c r="H8" s="213">
        <f>'[1]Summary'!O7+'[1]Summary'!P7</f>
        <v>100000</v>
      </c>
      <c r="I8" s="213">
        <v>9000</v>
      </c>
      <c r="J8" s="216">
        <v>40000</v>
      </c>
      <c r="K8" s="217">
        <f aca="true" t="shared" si="0" ref="K8:L30">B8+G8</f>
        <v>6570</v>
      </c>
      <c r="L8" s="213">
        <f t="shared" si="0"/>
        <v>29000</v>
      </c>
      <c r="M8" s="213">
        <f aca="true" t="shared" si="1" ref="M8:M30">D8</f>
        <v>-1556000</v>
      </c>
      <c r="N8" s="213">
        <f aca="true" t="shared" si="2" ref="N8:O30">E8+I8</f>
        <v>286000</v>
      </c>
      <c r="O8" s="214">
        <f t="shared" si="2"/>
        <v>2799000</v>
      </c>
      <c r="P8" s="218">
        <f aca="true" t="shared" si="3" ref="P8:P30">SUM(L8:O8)</f>
        <v>1558000</v>
      </c>
    </row>
    <row r="9" spans="1:16" ht="15">
      <c r="A9" s="219" t="s">
        <v>1</v>
      </c>
      <c r="B9" s="220">
        <v>2467</v>
      </c>
      <c r="C9" s="221">
        <v>-419000</v>
      </c>
      <c r="D9" s="221">
        <v>0</v>
      </c>
      <c r="E9" s="221">
        <v>0</v>
      </c>
      <c r="F9" s="222">
        <v>1089000</v>
      </c>
      <c r="G9" s="223">
        <v>10</v>
      </c>
      <c r="H9" s="221">
        <f>'[1]Summary'!O8+'[1]Summary'!P8</f>
        <v>2000</v>
      </c>
      <c r="I9" s="221">
        <v>0</v>
      </c>
      <c r="J9" s="224">
        <v>5000</v>
      </c>
      <c r="K9" s="221">
        <f t="shared" si="0"/>
        <v>2477</v>
      </c>
      <c r="L9" s="221">
        <f t="shared" si="0"/>
        <v>-417000</v>
      </c>
      <c r="M9" s="221">
        <f t="shared" si="1"/>
        <v>0</v>
      </c>
      <c r="N9" s="221">
        <f t="shared" si="2"/>
        <v>0</v>
      </c>
      <c r="O9" s="222">
        <f t="shared" si="2"/>
        <v>1094000</v>
      </c>
      <c r="P9" s="225">
        <f t="shared" si="3"/>
        <v>677000</v>
      </c>
    </row>
    <row r="10" spans="1:16" ht="15">
      <c r="A10" s="219" t="s">
        <v>2</v>
      </c>
      <c r="B10" s="220">
        <v>13314</v>
      </c>
      <c r="C10" s="221">
        <v>-439000</v>
      </c>
      <c r="D10" s="221">
        <v>-4980000</v>
      </c>
      <c r="E10" s="221">
        <v>283000</v>
      </c>
      <c r="F10" s="222">
        <v>5423000</v>
      </c>
      <c r="G10" s="223">
        <v>438</v>
      </c>
      <c r="H10" s="221">
        <f>'[1]Summary'!O9+'[1]Summary'!P9</f>
        <v>-524000</v>
      </c>
      <c r="I10" s="221">
        <v>14000</v>
      </c>
      <c r="J10" s="224">
        <v>198000</v>
      </c>
      <c r="K10" s="221">
        <f t="shared" si="0"/>
        <v>13752</v>
      </c>
      <c r="L10" s="221">
        <f t="shared" si="0"/>
        <v>-963000</v>
      </c>
      <c r="M10" s="221">
        <f t="shared" si="1"/>
        <v>-4980000</v>
      </c>
      <c r="N10" s="221">
        <f t="shared" si="2"/>
        <v>297000</v>
      </c>
      <c r="O10" s="222">
        <f t="shared" si="2"/>
        <v>5621000</v>
      </c>
      <c r="P10" s="225">
        <f t="shared" si="3"/>
        <v>-25000</v>
      </c>
    </row>
    <row r="11" spans="1:16" ht="15">
      <c r="A11" s="219" t="s">
        <v>3</v>
      </c>
      <c r="B11" s="220">
        <v>8788</v>
      </c>
      <c r="C11" s="221">
        <v>1063000</v>
      </c>
      <c r="D11" s="221">
        <v>-2507000</v>
      </c>
      <c r="E11" s="221">
        <v>1024000</v>
      </c>
      <c r="F11" s="222">
        <v>4168000</v>
      </c>
      <c r="G11" s="223">
        <v>85</v>
      </c>
      <c r="H11" s="221">
        <f>'[1]Summary'!O10+'[1]Summary'!P10</f>
        <v>-96000</v>
      </c>
      <c r="I11" s="221">
        <v>8000</v>
      </c>
      <c r="J11" s="224">
        <v>42000</v>
      </c>
      <c r="K11" s="221">
        <f t="shared" si="0"/>
        <v>8873</v>
      </c>
      <c r="L11" s="221">
        <f t="shared" si="0"/>
        <v>967000</v>
      </c>
      <c r="M11" s="221">
        <f t="shared" si="1"/>
        <v>-2507000</v>
      </c>
      <c r="N11" s="221">
        <f t="shared" si="2"/>
        <v>1032000</v>
      </c>
      <c r="O11" s="222">
        <f t="shared" si="2"/>
        <v>4210000</v>
      </c>
      <c r="P11" s="225">
        <f t="shared" si="3"/>
        <v>3702000</v>
      </c>
    </row>
    <row r="12" spans="1:16" ht="15">
      <c r="A12" s="219" t="s">
        <v>29</v>
      </c>
      <c r="B12" s="220">
        <v>10646</v>
      </c>
      <c r="C12" s="221">
        <v>-2015000</v>
      </c>
      <c r="D12" s="221">
        <v>-4303000</v>
      </c>
      <c r="E12" s="221">
        <v>1478000</v>
      </c>
      <c r="F12" s="222">
        <v>4197000</v>
      </c>
      <c r="G12" s="223">
        <v>1030</v>
      </c>
      <c r="H12" s="221">
        <f>'[1]Summary'!O11+'[1]Summary'!P11</f>
        <v>1562000</v>
      </c>
      <c r="I12" s="221">
        <v>134000</v>
      </c>
      <c r="J12" s="224">
        <v>412000</v>
      </c>
      <c r="K12" s="221">
        <f t="shared" si="0"/>
        <v>11676</v>
      </c>
      <c r="L12" s="221">
        <f t="shared" si="0"/>
        <v>-453000</v>
      </c>
      <c r="M12" s="221">
        <f t="shared" si="1"/>
        <v>-4303000</v>
      </c>
      <c r="N12" s="221">
        <f t="shared" si="2"/>
        <v>1612000</v>
      </c>
      <c r="O12" s="222">
        <f t="shared" si="2"/>
        <v>4609000</v>
      </c>
      <c r="P12" s="225">
        <f t="shared" si="3"/>
        <v>1465000</v>
      </c>
    </row>
    <row r="13" spans="1:16" ht="15">
      <c r="A13" s="219" t="s">
        <v>4</v>
      </c>
      <c r="B13" s="220">
        <v>16457</v>
      </c>
      <c r="C13" s="221">
        <v>-1183000</v>
      </c>
      <c r="D13" s="221">
        <v>-6556000</v>
      </c>
      <c r="E13" s="221">
        <v>305000</v>
      </c>
      <c r="F13" s="222">
        <v>7215000</v>
      </c>
      <c r="G13" s="223">
        <v>512</v>
      </c>
      <c r="H13" s="221">
        <f>'[1]Summary'!O12+'[1]Summary'!P12</f>
        <v>-490000</v>
      </c>
      <c r="I13" s="221">
        <v>18000</v>
      </c>
      <c r="J13" s="224">
        <v>248000</v>
      </c>
      <c r="K13" s="221">
        <f t="shared" si="0"/>
        <v>16969</v>
      </c>
      <c r="L13" s="221">
        <f t="shared" si="0"/>
        <v>-1673000</v>
      </c>
      <c r="M13" s="221">
        <f t="shared" si="1"/>
        <v>-6556000</v>
      </c>
      <c r="N13" s="221">
        <f t="shared" si="2"/>
        <v>323000</v>
      </c>
      <c r="O13" s="222">
        <f t="shared" si="2"/>
        <v>7463000</v>
      </c>
      <c r="P13" s="225">
        <f t="shared" si="3"/>
        <v>-443000</v>
      </c>
    </row>
    <row r="14" spans="1:16" ht="15">
      <c r="A14" s="219" t="s">
        <v>5</v>
      </c>
      <c r="B14" s="220">
        <v>24245</v>
      </c>
      <c r="C14" s="221">
        <v>49000</v>
      </c>
      <c r="D14" s="221">
        <v>-12359000</v>
      </c>
      <c r="E14" s="221">
        <v>2802000</v>
      </c>
      <c r="F14" s="222">
        <v>10964000</v>
      </c>
      <c r="G14" s="223">
        <v>911</v>
      </c>
      <c r="H14" s="221">
        <f>'[1]Summary'!O13+'[1]Summary'!P13</f>
        <v>-61000</v>
      </c>
      <c r="I14" s="221">
        <v>123000</v>
      </c>
      <c r="J14" s="224">
        <v>448000</v>
      </c>
      <c r="K14" s="221">
        <f t="shared" si="0"/>
        <v>25156</v>
      </c>
      <c r="L14" s="221">
        <f t="shared" si="0"/>
        <v>-12000</v>
      </c>
      <c r="M14" s="221">
        <f t="shared" si="1"/>
        <v>-12359000</v>
      </c>
      <c r="N14" s="221">
        <f t="shared" si="2"/>
        <v>2925000</v>
      </c>
      <c r="O14" s="222">
        <f t="shared" si="2"/>
        <v>11412000</v>
      </c>
      <c r="P14" s="225">
        <f t="shared" si="3"/>
        <v>1966000</v>
      </c>
    </row>
    <row r="15" spans="1:16" ht="15">
      <c r="A15" s="219" t="s">
        <v>6</v>
      </c>
      <c r="B15" s="220">
        <v>6612</v>
      </c>
      <c r="C15" s="221">
        <v>-787000</v>
      </c>
      <c r="D15" s="221">
        <v>-1505000</v>
      </c>
      <c r="E15" s="221">
        <v>117000</v>
      </c>
      <c r="F15" s="222">
        <v>2700000</v>
      </c>
      <c r="G15" s="223">
        <v>242</v>
      </c>
      <c r="H15" s="221">
        <f>'[1]Summary'!O14+'[1]Summary'!P14</f>
        <v>417000</v>
      </c>
      <c r="I15" s="221">
        <v>8000</v>
      </c>
      <c r="J15" s="224">
        <v>105000</v>
      </c>
      <c r="K15" s="221">
        <f t="shared" si="0"/>
        <v>6854</v>
      </c>
      <c r="L15" s="221">
        <f t="shared" si="0"/>
        <v>-370000</v>
      </c>
      <c r="M15" s="221">
        <f t="shared" si="1"/>
        <v>-1505000</v>
      </c>
      <c r="N15" s="221">
        <f t="shared" si="2"/>
        <v>125000</v>
      </c>
      <c r="O15" s="222">
        <f t="shared" si="2"/>
        <v>2805000</v>
      </c>
      <c r="P15" s="225">
        <f t="shared" si="3"/>
        <v>1055000</v>
      </c>
    </row>
    <row r="16" spans="1:16" ht="15">
      <c r="A16" s="219" t="s">
        <v>7</v>
      </c>
      <c r="B16" s="220">
        <v>25056</v>
      </c>
      <c r="C16" s="221">
        <v>-2569000</v>
      </c>
      <c r="D16" s="221">
        <v>-12346000</v>
      </c>
      <c r="E16" s="221">
        <v>1905000</v>
      </c>
      <c r="F16" s="222">
        <v>11244000</v>
      </c>
      <c r="G16" s="223">
        <v>1241</v>
      </c>
      <c r="H16" s="221">
        <f>'[1]Summary'!O15+'[1]Summary'!P15</f>
        <v>-808000</v>
      </c>
      <c r="I16" s="221">
        <v>106000</v>
      </c>
      <c r="J16" s="224">
        <v>595000</v>
      </c>
      <c r="K16" s="221">
        <f t="shared" si="0"/>
        <v>26297</v>
      </c>
      <c r="L16" s="221">
        <f t="shared" si="0"/>
        <v>-3377000</v>
      </c>
      <c r="M16" s="221">
        <f t="shared" si="1"/>
        <v>-12346000</v>
      </c>
      <c r="N16" s="221">
        <f t="shared" si="2"/>
        <v>2011000</v>
      </c>
      <c r="O16" s="222">
        <f t="shared" si="2"/>
        <v>11839000</v>
      </c>
      <c r="P16" s="225">
        <f t="shared" si="3"/>
        <v>-1873000</v>
      </c>
    </row>
    <row r="17" spans="1:16" ht="15">
      <c r="A17" s="219" t="s">
        <v>8</v>
      </c>
      <c r="B17" s="220">
        <v>15385</v>
      </c>
      <c r="C17" s="221">
        <v>-921000</v>
      </c>
      <c r="D17" s="221">
        <v>-6800000</v>
      </c>
      <c r="E17" s="221">
        <v>2369000</v>
      </c>
      <c r="F17" s="222">
        <v>6591000</v>
      </c>
      <c r="G17" s="223">
        <v>911</v>
      </c>
      <c r="H17" s="221">
        <f>'[1]Summary'!O16+'[1]Summary'!P16</f>
        <v>1203000</v>
      </c>
      <c r="I17" s="221">
        <v>141000</v>
      </c>
      <c r="J17" s="224">
        <v>448000</v>
      </c>
      <c r="K17" s="221">
        <f t="shared" si="0"/>
        <v>16296</v>
      </c>
      <c r="L17" s="221">
        <f t="shared" si="0"/>
        <v>282000</v>
      </c>
      <c r="M17" s="221">
        <f t="shared" si="1"/>
        <v>-6800000</v>
      </c>
      <c r="N17" s="221">
        <f t="shared" si="2"/>
        <v>2510000</v>
      </c>
      <c r="O17" s="222">
        <f t="shared" si="2"/>
        <v>7039000</v>
      </c>
      <c r="P17" s="225">
        <f t="shared" si="3"/>
        <v>3031000</v>
      </c>
    </row>
    <row r="18" spans="1:16" ht="15">
      <c r="A18" s="219" t="s">
        <v>9</v>
      </c>
      <c r="B18" s="220">
        <v>870</v>
      </c>
      <c r="C18" s="221">
        <v>-35000</v>
      </c>
      <c r="D18" s="221">
        <v>0</v>
      </c>
      <c r="E18" s="221">
        <v>0</v>
      </c>
      <c r="F18" s="222">
        <v>266000</v>
      </c>
      <c r="G18" s="223">
        <v>52</v>
      </c>
      <c r="H18" s="221">
        <f>'[1]Summary'!O17+'[1]Summary'!P17</f>
        <v>-90000</v>
      </c>
      <c r="I18" s="221">
        <v>0</v>
      </c>
      <c r="J18" s="224">
        <v>17000</v>
      </c>
      <c r="K18" s="221">
        <f t="shared" si="0"/>
        <v>922</v>
      </c>
      <c r="L18" s="221">
        <f t="shared" si="0"/>
        <v>-125000</v>
      </c>
      <c r="M18" s="221">
        <f t="shared" si="1"/>
        <v>0</v>
      </c>
      <c r="N18" s="221">
        <f t="shared" si="2"/>
        <v>0</v>
      </c>
      <c r="O18" s="222">
        <f t="shared" si="2"/>
        <v>283000</v>
      </c>
      <c r="P18" s="225">
        <f t="shared" si="3"/>
        <v>158000</v>
      </c>
    </row>
    <row r="19" spans="1:16" ht="15">
      <c r="A19" s="219" t="s">
        <v>10</v>
      </c>
      <c r="B19" s="220">
        <v>3640</v>
      </c>
      <c r="C19" s="221">
        <v>-259000</v>
      </c>
      <c r="D19" s="221">
        <v>0</v>
      </c>
      <c r="E19" s="221">
        <v>61000</v>
      </c>
      <c r="F19" s="222">
        <v>1477000</v>
      </c>
      <c r="G19" s="223">
        <v>129</v>
      </c>
      <c r="H19" s="221">
        <f>'[1]Summary'!O18+'[1]Summary'!P18</f>
        <v>256000</v>
      </c>
      <c r="I19" s="221">
        <v>0</v>
      </c>
      <c r="J19" s="224">
        <v>54000</v>
      </c>
      <c r="K19" s="221">
        <f t="shared" si="0"/>
        <v>3769</v>
      </c>
      <c r="L19" s="221">
        <f t="shared" si="0"/>
        <v>-3000</v>
      </c>
      <c r="M19" s="221">
        <f t="shared" si="1"/>
        <v>0</v>
      </c>
      <c r="N19" s="221">
        <f t="shared" si="2"/>
        <v>61000</v>
      </c>
      <c r="O19" s="222">
        <f t="shared" si="2"/>
        <v>1531000</v>
      </c>
      <c r="P19" s="225">
        <f t="shared" si="3"/>
        <v>1589000</v>
      </c>
    </row>
    <row r="20" spans="1:16" ht="15">
      <c r="A20" s="219" t="s">
        <v>11</v>
      </c>
      <c r="B20" s="220">
        <v>22946</v>
      </c>
      <c r="C20" s="221">
        <v>-3133000</v>
      </c>
      <c r="D20" s="221">
        <v>-11526000</v>
      </c>
      <c r="E20" s="221">
        <v>1985000</v>
      </c>
      <c r="F20" s="222">
        <v>10457000</v>
      </c>
      <c r="G20" s="223">
        <v>1495</v>
      </c>
      <c r="H20" s="221">
        <f>'[1]Summary'!O19+'[1]Summary'!P19</f>
        <v>1340000</v>
      </c>
      <c r="I20" s="221">
        <v>143000</v>
      </c>
      <c r="J20" s="224">
        <v>718000</v>
      </c>
      <c r="K20" s="221">
        <f t="shared" si="0"/>
        <v>24441</v>
      </c>
      <c r="L20" s="221">
        <f t="shared" si="0"/>
        <v>-1793000</v>
      </c>
      <c r="M20" s="221">
        <f t="shared" si="1"/>
        <v>-11526000</v>
      </c>
      <c r="N20" s="221">
        <f t="shared" si="2"/>
        <v>2128000</v>
      </c>
      <c r="O20" s="222">
        <f t="shared" si="2"/>
        <v>11175000</v>
      </c>
      <c r="P20" s="225">
        <f t="shared" si="3"/>
        <v>-16000</v>
      </c>
    </row>
    <row r="21" spans="1:16" ht="15">
      <c r="A21" s="219" t="s">
        <v>12</v>
      </c>
      <c r="B21" s="220">
        <v>16123</v>
      </c>
      <c r="C21" s="221">
        <v>-251000</v>
      </c>
      <c r="D21" s="221">
        <v>-6711000</v>
      </c>
      <c r="E21" s="221">
        <v>1471000</v>
      </c>
      <c r="F21" s="222">
        <v>6921000</v>
      </c>
      <c r="G21" s="223">
        <v>755</v>
      </c>
      <c r="H21" s="221">
        <f>'[1]Summary'!O20+'[1]Summary'!P20</f>
        <v>0</v>
      </c>
      <c r="I21" s="221">
        <v>89000</v>
      </c>
      <c r="J21" s="224">
        <v>332000</v>
      </c>
      <c r="K21" s="221">
        <f t="shared" si="0"/>
        <v>16878</v>
      </c>
      <c r="L21" s="221">
        <f t="shared" si="0"/>
        <v>-251000</v>
      </c>
      <c r="M21" s="221">
        <f t="shared" si="1"/>
        <v>-6711000</v>
      </c>
      <c r="N21" s="221">
        <f t="shared" si="2"/>
        <v>1560000</v>
      </c>
      <c r="O21" s="222">
        <f t="shared" si="2"/>
        <v>7253000</v>
      </c>
      <c r="P21" s="225">
        <f t="shared" si="3"/>
        <v>1851000</v>
      </c>
    </row>
    <row r="22" spans="1:16" ht="15">
      <c r="A22" s="219" t="s">
        <v>13</v>
      </c>
      <c r="B22" s="220">
        <v>20482</v>
      </c>
      <c r="C22" s="221">
        <v>-3647000</v>
      </c>
      <c r="D22" s="221">
        <v>-9795000</v>
      </c>
      <c r="E22" s="221">
        <v>674000</v>
      </c>
      <c r="F22" s="222">
        <v>9080000</v>
      </c>
      <c r="G22" s="223">
        <v>456</v>
      </c>
      <c r="H22" s="221">
        <f>'[1]Summary'!O21+'[1]Summary'!P21</f>
        <v>319000</v>
      </c>
      <c r="I22" s="221">
        <v>35000</v>
      </c>
      <c r="J22" s="224">
        <v>250000</v>
      </c>
      <c r="K22" s="221">
        <f t="shared" si="0"/>
        <v>20938</v>
      </c>
      <c r="L22" s="221">
        <f t="shared" si="0"/>
        <v>-3328000</v>
      </c>
      <c r="M22" s="221">
        <f t="shared" si="1"/>
        <v>-9795000</v>
      </c>
      <c r="N22" s="221">
        <f t="shared" si="2"/>
        <v>709000</v>
      </c>
      <c r="O22" s="222">
        <f t="shared" si="2"/>
        <v>9330000</v>
      </c>
      <c r="P22" s="225">
        <f t="shared" si="3"/>
        <v>-3084000</v>
      </c>
    </row>
    <row r="23" spans="1:16" ht="15">
      <c r="A23" s="219" t="s">
        <v>14</v>
      </c>
      <c r="B23" s="220">
        <v>13046</v>
      </c>
      <c r="C23" s="221">
        <v>-676000</v>
      </c>
      <c r="D23" s="221">
        <v>-5525000</v>
      </c>
      <c r="E23" s="221">
        <v>1319000</v>
      </c>
      <c r="F23" s="222">
        <v>5677000</v>
      </c>
      <c r="G23" s="223">
        <v>490</v>
      </c>
      <c r="H23" s="221">
        <f>'[1]Summary'!O22+'[1]Summary'!P22</f>
        <v>779000</v>
      </c>
      <c r="I23" s="221">
        <v>53000</v>
      </c>
      <c r="J23" s="224">
        <v>221000</v>
      </c>
      <c r="K23" s="221">
        <f t="shared" si="0"/>
        <v>13536</v>
      </c>
      <c r="L23" s="221">
        <f t="shared" si="0"/>
        <v>103000</v>
      </c>
      <c r="M23" s="221">
        <f t="shared" si="1"/>
        <v>-5525000</v>
      </c>
      <c r="N23" s="221">
        <f t="shared" si="2"/>
        <v>1372000</v>
      </c>
      <c r="O23" s="222">
        <f t="shared" si="2"/>
        <v>5898000</v>
      </c>
      <c r="P23" s="225">
        <f t="shared" si="3"/>
        <v>1848000</v>
      </c>
    </row>
    <row r="24" spans="1:16" ht="15">
      <c r="A24" s="219" t="s">
        <v>15</v>
      </c>
      <c r="B24" s="220">
        <v>25233</v>
      </c>
      <c r="C24" s="221">
        <v>-1345000</v>
      </c>
      <c r="D24" s="221">
        <v>-11928000</v>
      </c>
      <c r="E24" s="221">
        <v>2129000</v>
      </c>
      <c r="F24" s="222">
        <v>10359000</v>
      </c>
      <c r="G24" s="223">
        <v>1771</v>
      </c>
      <c r="H24" s="221">
        <f>'[1]Summary'!O23+'[1]Summary'!P23</f>
        <v>1498000</v>
      </c>
      <c r="I24" s="221">
        <v>167000</v>
      </c>
      <c r="J24" s="224">
        <v>849000</v>
      </c>
      <c r="K24" s="221">
        <f t="shared" si="0"/>
        <v>27004</v>
      </c>
      <c r="L24" s="221">
        <f t="shared" si="0"/>
        <v>153000</v>
      </c>
      <c r="M24" s="221">
        <f t="shared" si="1"/>
        <v>-11928000</v>
      </c>
      <c r="N24" s="221">
        <f t="shared" si="2"/>
        <v>2296000</v>
      </c>
      <c r="O24" s="222">
        <f t="shared" si="2"/>
        <v>11208000</v>
      </c>
      <c r="P24" s="225">
        <f t="shared" si="3"/>
        <v>1729000</v>
      </c>
    </row>
    <row r="25" spans="1:16" ht="15">
      <c r="A25" s="219" t="s">
        <v>16</v>
      </c>
      <c r="B25" s="220">
        <v>20879</v>
      </c>
      <c r="C25" s="221">
        <v>-618000</v>
      </c>
      <c r="D25" s="221">
        <v>-10295000</v>
      </c>
      <c r="E25" s="221">
        <v>2036000</v>
      </c>
      <c r="F25" s="222">
        <v>8926000</v>
      </c>
      <c r="G25" s="223">
        <v>1796</v>
      </c>
      <c r="H25" s="221">
        <f>'[1]Summary'!O24+'[1]Summary'!P24</f>
        <v>1648000</v>
      </c>
      <c r="I25" s="221">
        <v>207000</v>
      </c>
      <c r="J25" s="224">
        <v>830000</v>
      </c>
      <c r="K25" s="221">
        <f t="shared" si="0"/>
        <v>22675</v>
      </c>
      <c r="L25" s="221">
        <f t="shared" si="0"/>
        <v>1030000</v>
      </c>
      <c r="M25" s="221">
        <f t="shared" si="1"/>
        <v>-10295000</v>
      </c>
      <c r="N25" s="221">
        <f t="shared" si="2"/>
        <v>2243000</v>
      </c>
      <c r="O25" s="222">
        <f t="shared" si="2"/>
        <v>9756000</v>
      </c>
      <c r="P25" s="225">
        <f t="shared" si="3"/>
        <v>2734000</v>
      </c>
    </row>
    <row r="26" spans="1:16" ht="15">
      <c r="A26" s="219" t="s">
        <v>17</v>
      </c>
      <c r="B26" s="220">
        <v>20027</v>
      </c>
      <c r="C26" s="221">
        <v>-1515000</v>
      </c>
      <c r="D26" s="221">
        <v>-9855000</v>
      </c>
      <c r="E26" s="221">
        <v>1064000</v>
      </c>
      <c r="F26" s="222">
        <v>9192000</v>
      </c>
      <c r="G26" s="223">
        <v>1751</v>
      </c>
      <c r="H26" s="221">
        <f>'[1]Summary'!O25+'[1]Summary'!P25</f>
        <v>-391000</v>
      </c>
      <c r="I26" s="221">
        <v>231000</v>
      </c>
      <c r="J26" s="224">
        <v>935000</v>
      </c>
      <c r="K26" s="221">
        <f t="shared" si="0"/>
        <v>21778</v>
      </c>
      <c r="L26" s="221">
        <f t="shared" si="0"/>
        <v>-1906000</v>
      </c>
      <c r="M26" s="221">
        <f t="shared" si="1"/>
        <v>-9855000</v>
      </c>
      <c r="N26" s="221">
        <f t="shared" si="2"/>
        <v>1295000</v>
      </c>
      <c r="O26" s="222">
        <f t="shared" si="2"/>
        <v>10127000</v>
      </c>
      <c r="P26" s="225">
        <f t="shared" si="3"/>
        <v>-339000</v>
      </c>
    </row>
    <row r="27" spans="1:16" ht="15">
      <c r="A27" s="219" t="s">
        <v>18</v>
      </c>
      <c r="B27" s="220">
        <v>15702</v>
      </c>
      <c r="C27" s="221">
        <v>-1809000</v>
      </c>
      <c r="D27" s="221">
        <v>-5917000</v>
      </c>
      <c r="E27" s="221">
        <v>987000</v>
      </c>
      <c r="F27" s="222">
        <v>6258000</v>
      </c>
      <c r="G27" s="223">
        <v>709</v>
      </c>
      <c r="H27" s="221">
        <f>'[1]Summary'!O26+'[1]Summary'!P26</f>
        <v>-75000</v>
      </c>
      <c r="I27" s="221">
        <v>36000</v>
      </c>
      <c r="J27" s="224">
        <v>295000</v>
      </c>
      <c r="K27" s="221">
        <f t="shared" si="0"/>
        <v>16411</v>
      </c>
      <c r="L27" s="221">
        <f t="shared" si="0"/>
        <v>-1884000</v>
      </c>
      <c r="M27" s="221">
        <f t="shared" si="1"/>
        <v>-5917000</v>
      </c>
      <c r="N27" s="221">
        <f t="shared" si="2"/>
        <v>1023000</v>
      </c>
      <c r="O27" s="222">
        <f t="shared" si="2"/>
        <v>6553000</v>
      </c>
      <c r="P27" s="225">
        <f t="shared" si="3"/>
        <v>-225000</v>
      </c>
    </row>
    <row r="28" spans="1:16" ht="15">
      <c r="A28" s="219" t="s">
        <v>19</v>
      </c>
      <c r="B28" s="220">
        <v>6846</v>
      </c>
      <c r="C28" s="221">
        <v>626000</v>
      </c>
      <c r="D28" s="221">
        <v>-1761000</v>
      </c>
      <c r="E28" s="221">
        <v>375000</v>
      </c>
      <c r="F28" s="222">
        <v>3050000</v>
      </c>
      <c r="G28" s="223">
        <v>94</v>
      </c>
      <c r="H28" s="221">
        <f>'[1]Summary'!O27+'[1]Summary'!P27</f>
        <v>-118000</v>
      </c>
      <c r="I28" s="221">
        <v>1000</v>
      </c>
      <c r="J28" s="224">
        <v>47000</v>
      </c>
      <c r="K28" s="221">
        <f t="shared" si="0"/>
        <v>6940</v>
      </c>
      <c r="L28" s="221">
        <f t="shared" si="0"/>
        <v>508000</v>
      </c>
      <c r="M28" s="221">
        <f t="shared" si="1"/>
        <v>-1761000</v>
      </c>
      <c r="N28" s="221">
        <f t="shared" si="2"/>
        <v>376000</v>
      </c>
      <c r="O28" s="222">
        <f t="shared" si="2"/>
        <v>3097000</v>
      </c>
      <c r="P28" s="225">
        <f t="shared" si="3"/>
        <v>2220000</v>
      </c>
    </row>
    <row r="29" spans="1:16" ht="15">
      <c r="A29" s="219" t="s">
        <v>20</v>
      </c>
      <c r="B29" s="220">
        <v>7050</v>
      </c>
      <c r="C29" s="221">
        <v>-379000</v>
      </c>
      <c r="D29" s="221">
        <v>-1649000</v>
      </c>
      <c r="E29" s="221">
        <v>138000</v>
      </c>
      <c r="F29" s="222">
        <v>2968000</v>
      </c>
      <c r="G29" s="223">
        <v>92</v>
      </c>
      <c r="H29" s="221">
        <f>'[1]Summary'!O28+'[1]Summary'!P28</f>
        <v>-166000</v>
      </c>
      <c r="I29" s="221">
        <v>1000</v>
      </c>
      <c r="J29" s="224">
        <v>43000</v>
      </c>
      <c r="K29" s="221">
        <f t="shared" si="0"/>
        <v>7142</v>
      </c>
      <c r="L29" s="221">
        <f t="shared" si="0"/>
        <v>-545000</v>
      </c>
      <c r="M29" s="221">
        <f t="shared" si="1"/>
        <v>-1649000</v>
      </c>
      <c r="N29" s="221">
        <f t="shared" si="2"/>
        <v>139000</v>
      </c>
      <c r="O29" s="222">
        <f t="shared" si="2"/>
        <v>3011000</v>
      </c>
      <c r="P29" s="225">
        <f t="shared" si="3"/>
        <v>956000</v>
      </c>
    </row>
    <row r="30" spans="1:16" ht="15">
      <c r="A30" s="219" t="s">
        <v>21</v>
      </c>
      <c r="B30" s="220">
        <v>6665</v>
      </c>
      <c r="C30" s="221">
        <f>-940000-107000</f>
        <v>-1047000</v>
      </c>
      <c r="D30" s="221">
        <v>-1479000</v>
      </c>
      <c r="E30" s="221">
        <v>633000</v>
      </c>
      <c r="F30" s="222">
        <f>2509000+97000</f>
        <v>2606000</v>
      </c>
      <c r="G30" s="223">
        <v>87</v>
      </c>
      <c r="H30" s="221">
        <f>'[1]Summary'!O29+'[1]Summary'!P29</f>
        <v>245000</v>
      </c>
      <c r="I30" s="221">
        <v>3000</v>
      </c>
      <c r="J30" s="224">
        <f>34000+9000</f>
        <v>43000</v>
      </c>
      <c r="K30" s="221">
        <f t="shared" si="0"/>
        <v>6752</v>
      </c>
      <c r="L30" s="221">
        <f t="shared" si="0"/>
        <v>-802000</v>
      </c>
      <c r="M30" s="221">
        <f t="shared" si="1"/>
        <v>-1479000</v>
      </c>
      <c r="N30" s="221">
        <f t="shared" si="2"/>
        <v>636000</v>
      </c>
      <c r="O30" s="222">
        <f t="shared" si="2"/>
        <v>2649000</v>
      </c>
      <c r="P30" s="225">
        <f t="shared" si="3"/>
        <v>1004000</v>
      </c>
    </row>
    <row r="31" spans="1:16" ht="6" customHeight="1">
      <c r="A31" s="219"/>
      <c r="B31" s="221"/>
      <c r="C31" s="221"/>
      <c r="D31" s="221"/>
      <c r="E31" s="221"/>
      <c r="F31" s="222"/>
      <c r="G31" s="223"/>
      <c r="H31" s="221"/>
      <c r="I31" s="221"/>
      <c r="J31" s="224"/>
      <c r="K31" s="221"/>
      <c r="L31" s="221"/>
      <c r="M31" s="221"/>
      <c r="N31" s="221"/>
      <c r="O31" s="222"/>
      <c r="P31" s="226"/>
    </row>
    <row r="32" spans="1:16" ht="15">
      <c r="A32" s="227" t="s">
        <v>22</v>
      </c>
      <c r="B32" s="228">
        <f aca="true" t="shared" si="4" ref="B32:P32">SUM(B8:B30)</f>
        <v>308951</v>
      </c>
      <c r="C32" s="229">
        <f t="shared" si="4"/>
        <v>-21380000</v>
      </c>
      <c r="D32" s="229">
        <f t="shared" si="4"/>
        <v>-129353000</v>
      </c>
      <c r="E32" s="229">
        <f t="shared" si="4"/>
        <v>23432000</v>
      </c>
      <c r="F32" s="229">
        <f t="shared" si="4"/>
        <v>133587000</v>
      </c>
      <c r="G32" s="230">
        <f t="shared" si="4"/>
        <v>15155</v>
      </c>
      <c r="H32" s="229">
        <f t="shared" si="4"/>
        <v>6550000</v>
      </c>
      <c r="I32" s="229">
        <f t="shared" si="4"/>
        <v>1527000</v>
      </c>
      <c r="J32" s="231">
        <f t="shared" si="4"/>
        <v>7175000</v>
      </c>
      <c r="K32" s="228">
        <f t="shared" si="4"/>
        <v>324106</v>
      </c>
      <c r="L32" s="229">
        <f t="shared" si="4"/>
        <v>-14830000</v>
      </c>
      <c r="M32" s="229">
        <f t="shared" si="4"/>
        <v>-129353000</v>
      </c>
      <c r="N32" s="229">
        <f t="shared" si="4"/>
        <v>24959000</v>
      </c>
      <c r="O32" s="232">
        <f t="shared" si="4"/>
        <v>140762000</v>
      </c>
      <c r="P32" s="233">
        <f t="shared" si="4"/>
        <v>21538000</v>
      </c>
    </row>
    <row r="33" spans="1:16" ht="15">
      <c r="A33" s="234"/>
      <c r="B33" s="235"/>
      <c r="C33" s="213"/>
      <c r="D33" s="213"/>
      <c r="E33" s="213"/>
      <c r="F33" s="213"/>
      <c r="G33" s="215"/>
      <c r="H33" s="213"/>
      <c r="I33" s="213"/>
      <c r="J33" s="216"/>
      <c r="K33" s="235"/>
      <c r="L33" s="213"/>
      <c r="M33" s="213"/>
      <c r="N33" s="213"/>
      <c r="O33" s="214"/>
      <c r="P33" s="226"/>
    </row>
    <row r="34" spans="1:16" ht="15">
      <c r="A34" s="211" t="s">
        <v>23</v>
      </c>
      <c r="B34" s="236">
        <v>0</v>
      </c>
      <c r="C34" s="221">
        <v>0</v>
      </c>
      <c r="D34" s="221">
        <v>0</v>
      </c>
      <c r="E34" s="221">
        <v>0</v>
      </c>
      <c r="F34" s="221">
        <v>0</v>
      </c>
      <c r="G34" s="237">
        <v>0</v>
      </c>
      <c r="H34" s="221">
        <v>0</v>
      </c>
      <c r="I34" s="221">
        <v>0</v>
      </c>
      <c r="J34" s="224">
        <v>0</v>
      </c>
      <c r="K34" s="236">
        <v>0</v>
      </c>
      <c r="L34" s="221">
        <v>0</v>
      </c>
      <c r="M34" s="221">
        <v>0</v>
      </c>
      <c r="N34" s="221">
        <v>0</v>
      </c>
      <c r="O34" s="222">
        <f>F34+J34</f>
        <v>0</v>
      </c>
      <c r="P34" s="225">
        <f>SUM(L34:O34)</f>
        <v>0</v>
      </c>
    </row>
    <row r="35" spans="1:16" ht="15">
      <c r="A35" s="219" t="s">
        <v>32</v>
      </c>
      <c r="B35" s="220">
        <v>650</v>
      </c>
      <c r="C35" s="221">
        <v>-12000</v>
      </c>
      <c r="D35" s="221">
        <v>0</v>
      </c>
      <c r="E35" s="221">
        <v>299000</v>
      </c>
      <c r="F35" s="222">
        <v>317000</v>
      </c>
      <c r="G35" s="223">
        <v>0</v>
      </c>
      <c r="H35" s="221">
        <f>'[1]Summary'!O34+'[1]Summary'!P34</f>
        <v>-13000</v>
      </c>
      <c r="I35" s="221">
        <v>0</v>
      </c>
      <c r="J35" s="224">
        <v>0</v>
      </c>
      <c r="K35" s="221">
        <f aca="true" t="shared" si="5" ref="K35:L37">B35+G35</f>
        <v>650</v>
      </c>
      <c r="L35" s="221">
        <f t="shared" si="5"/>
        <v>-25000</v>
      </c>
      <c r="M35" s="221">
        <f>D35</f>
        <v>0</v>
      </c>
      <c r="N35" s="221">
        <f>E35+I35</f>
        <v>299000</v>
      </c>
      <c r="O35" s="222">
        <f>F35+J35</f>
        <v>317000</v>
      </c>
      <c r="P35" s="225">
        <f>SUM(L35:O35)</f>
        <v>591000</v>
      </c>
    </row>
    <row r="36" spans="1:16" ht="15">
      <c r="A36" s="219" t="s">
        <v>24</v>
      </c>
      <c r="B36" s="220">
        <v>665</v>
      </c>
      <c r="C36" s="221">
        <v>24000</v>
      </c>
      <c r="D36" s="221">
        <v>0</v>
      </c>
      <c r="E36" s="221">
        <v>7000</v>
      </c>
      <c r="F36" s="222">
        <v>230000</v>
      </c>
      <c r="G36" s="223">
        <v>12</v>
      </c>
      <c r="H36" s="221">
        <f>'[1]Summary'!O33+'[1]Summary'!P33</f>
        <v>39000</v>
      </c>
      <c r="I36" s="221">
        <v>0</v>
      </c>
      <c r="J36" s="224">
        <v>5000</v>
      </c>
      <c r="K36" s="221">
        <f t="shared" si="5"/>
        <v>677</v>
      </c>
      <c r="L36" s="221">
        <f t="shared" si="5"/>
        <v>63000</v>
      </c>
      <c r="M36" s="221">
        <f>D36</f>
        <v>0</v>
      </c>
      <c r="N36" s="221">
        <f>E36+I36</f>
        <v>7000</v>
      </c>
      <c r="O36" s="222">
        <f>F36+J36</f>
        <v>235000</v>
      </c>
      <c r="P36" s="225">
        <f>SUM(L36:O36)</f>
        <v>305000</v>
      </c>
    </row>
    <row r="37" spans="1:16" ht="15">
      <c r="A37" s="219" t="s">
        <v>25</v>
      </c>
      <c r="B37" s="220">
        <v>51</v>
      </c>
      <c r="C37" s="221">
        <v>284000</v>
      </c>
      <c r="D37" s="221">
        <v>0</v>
      </c>
      <c r="E37" s="221">
        <v>118000</v>
      </c>
      <c r="F37" s="222">
        <v>0</v>
      </c>
      <c r="G37" s="223">
        <v>3</v>
      </c>
      <c r="H37" s="221">
        <f>'[1]Summary'!O32+'[1]Summary'!P32</f>
        <v>4000</v>
      </c>
      <c r="I37" s="221">
        <v>7000</v>
      </c>
      <c r="J37" s="224">
        <v>0</v>
      </c>
      <c r="K37" s="221">
        <f t="shared" si="5"/>
        <v>54</v>
      </c>
      <c r="L37" s="221">
        <f t="shared" si="5"/>
        <v>288000</v>
      </c>
      <c r="M37" s="221">
        <f>D37</f>
        <v>0</v>
      </c>
      <c r="N37" s="221">
        <f>E37+I37</f>
        <v>125000</v>
      </c>
      <c r="O37" s="222">
        <f>F37+J37</f>
        <v>0</v>
      </c>
      <c r="P37" s="225">
        <f>SUM(L37:O37)</f>
        <v>413000</v>
      </c>
    </row>
    <row r="38" spans="1:16" ht="15">
      <c r="A38" s="226" t="s">
        <v>26</v>
      </c>
      <c r="B38" s="237">
        <v>0</v>
      </c>
      <c r="C38" s="221">
        <v>0</v>
      </c>
      <c r="D38" s="221">
        <v>0</v>
      </c>
      <c r="E38" s="221">
        <v>0</v>
      </c>
      <c r="F38" s="221">
        <v>0</v>
      </c>
      <c r="G38" s="237">
        <v>0</v>
      </c>
      <c r="H38" s="221">
        <v>0</v>
      </c>
      <c r="I38" s="221">
        <v>0</v>
      </c>
      <c r="J38" s="224">
        <v>0</v>
      </c>
      <c r="K38" s="236">
        <v>0</v>
      </c>
      <c r="L38" s="221">
        <v>0</v>
      </c>
      <c r="M38" s="221">
        <v>0</v>
      </c>
      <c r="N38" s="221">
        <v>0</v>
      </c>
      <c r="O38" s="222">
        <f>F38+J38</f>
        <v>0</v>
      </c>
      <c r="P38" s="225">
        <f>SUM(L38:O38)</f>
        <v>0</v>
      </c>
    </row>
    <row r="39" spans="1:16" ht="15">
      <c r="A39" s="219"/>
      <c r="B39" s="221"/>
      <c r="C39" s="221"/>
      <c r="D39" s="221"/>
      <c r="E39" s="221"/>
      <c r="F39" s="222"/>
      <c r="G39" s="223"/>
      <c r="H39" s="221"/>
      <c r="I39" s="221"/>
      <c r="J39" s="224"/>
      <c r="K39" s="221"/>
      <c r="L39" s="221"/>
      <c r="M39" s="221"/>
      <c r="N39" s="221"/>
      <c r="O39" s="222"/>
      <c r="P39" s="226"/>
    </row>
    <row r="40" spans="1:16" ht="15.75" thickBot="1">
      <c r="A40" s="238" t="s">
        <v>91</v>
      </c>
      <c r="B40" s="239">
        <f aca="true" t="shared" si="6" ref="B40:O40">SUM(B32:B37)</f>
        <v>310317</v>
      </c>
      <c r="C40" s="240">
        <f t="shared" si="6"/>
        <v>-21084000</v>
      </c>
      <c r="D40" s="240">
        <f t="shared" si="6"/>
        <v>-129353000</v>
      </c>
      <c r="E40" s="240">
        <f t="shared" si="6"/>
        <v>23856000</v>
      </c>
      <c r="F40" s="241">
        <f t="shared" si="6"/>
        <v>134134000</v>
      </c>
      <c r="G40" s="242">
        <f t="shared" si="6"/>
        <v>15170</v>
      </c>
      <c r="H40" s="240">
        <f t="shared" si="6"/>
        <v>6580000</v>
      </c>
      <c r="I40" s="240">
        <f t="shared" si="6"/>
        <v>1534000</v>
      </c>
      <c r="J40" s="243">
        <f t="shared" si="6"/>
        <v>7180000</v>
      </c>
      <c r="K40" s="239">
        <f t="shared" si="6"/>
        <v>325487</v>
      </c>
      <c r="L40" s="240">
        <f t="shared" si="6"/>
        <v>-14504000</v>
      </c>
      <c r="M40" s="240">
        <f t="shared" si="6"/>
        <v>-129353000</v>
      </c>
      <c r="N40" s="240">
        <f t="shared" si="6"/>
        <v>25390000</v>
      </c>
      <c r="O40" s="241">
        <f t="shared" si="6"/>
        <v>141314000</v>
      </c>
      <c r="P40" s="244">
        <f>SUM(P32:P38)</f>
        <v>22847000</v>
      </c>
    </row>
    <row r="42" spans="1:15" ht="18">
      <c r="A42" s="254" t="s">
        <v>114</v>
      </c>
      <c r="J42" s="252" t="s">
        <v>113</v>
      </c>
      <c r="K42" s="253"/>
      <c r="L42" s="253"/>
      <c r="M42" s="253"/>
      <c r="N42" s="253"/>
      <c r="O42" s="253"/>
    </row>
    <row r="43" spans="1:16" s="246" customFormat="1" ht="18.75" customHeight="1">
      <c r="A43" s="194" t="s">
        <v>112</v>
      </c>
      <c r="J43" s="245" t="s">
        <v>92</v>
      </c>
      <c r="P43" s="247">
        <v>-25769000</v>
      </c>
    </row>
    <row r="44" spans="10:16" s="246" customFormat="1" ht="18.75" customHeight="1">
      <c r="J44" s="245" t="s">
        <v>93</v>
      </c>
      <c r="P44" s="248">
        <v>55568000</v>
      </c>
    </row>
    <row r="45" spans="10:16" s="246" customFormat="1" ht="18.75" customHeight="1">
      <c r="J45" s="246" t="s">
        <v>108</v>
      </c>
      <c r="P45" s="249">
        <f>SUM(P43:P44)</f>
        <v>29799000</v>
      </c>
    </row>
  </sheetData>
  <sheetProtection/>
  <mergeCells count="3">
    <mergeCell ref="B4:F4"/>
    <mergeCell ref="G4:J4"/>
    <mergeCell ref="K4:O4"/>
  </mergeCells>
  <printOptions/>
  <pageMargins left="0.43" right="0.37" top="0.75" bottom="0.75" header="0.3" footer="0.3"/>
  <pageSetup fitToHeight="1" fitToWidth="1" horizontalDpi="600" verticalDpi="6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2010-02-18T22:32:11Z</cp:lastPrinted>
  <dcterms:created xsi:type="dcterms:W3CDTF">2005-01-20T22:46:37Z</dcterms:created>
  <dcterms:modified xsi:type="dcterms:W3CDTF">2018-11-15T22:22:57Z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4f5eb474-e505-4863-8978-16dab6e7720a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72WVDYXX2UNK-1717399031-162</vt:lpwstr>
  </property>
  <property fmtid="{D5CDD505-2E9C-101B-9397-08002B2CF9AE}" pid="7" name="_dlc_DocIdUrl">
    <vt:lpwstr>https://update.calstate.edu/csu-system/about-the-csu/budget/_layouts/15/DocIdRedir.aspx?ID=72WVDYXX2UNK-1717399031-162, 72WVDYXX2UNK-1717399031-162</vt:lpwstr>
  </property>
</Properties>
</file>