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5521" yWindow="65521" windowWidth="10815" windowHeight="9810" tabRatio="569" activeTab="0"/>
  </bookViews>
  <sheets>
    <sheet name="(A) Budget Summary" sheetId="1" r:id="rId1"/>
    <sheet name="(B) Base Bud Adj" sheetId="2" r:id="rId2"/>
    <sheet name="(C) 10-11 Mand Costs-GF Increas" sheetId="3" r:id="rId3"/>
    <sheet name="(D) Interest Pymt Schedule" sheetId="4" r:id="rId4"/>
    <sheet name="(E) SUF Revenue-310,317" sheetId="5" r:id="rId5"/>
    <sheet name="(F) SUG" sheetId="6" r:id="rId6"/>
  </sheets>
  <definedNames>
    <definedName name="_xlnm.Print_Area" localSheetId="0">'(A) Budget Summary'!$A$1:$S$43</definedName>
    <definedName name="_xlnm.Print_Area" localSheetId="1">'(B) Base Bud Adj'!$A$1:$Y$42</definedName>
    <definedName name="_xlnm.Print_Area" localSheetId="2">'(C) 10-11 Mand Costs-GF Increas'!$A$1:$P$43</definedName>
    <definedName name="_xlnm.Print_Area" localSheetId="3">'(D) Interest Pymt Schedule'!$A$1:$J$35</definedName>
    <definedName name="_xlnm.Print_Area" localSheetId="4">'(E) SUF Revenue-310,317'!$A$1:$AA$43</definedName>
    <definedName name="_xlnm.Print_Area" localSheetId="5">'(F) SUG'!$A$1:$M$34</definedName>
    <definedName name="_xlnm.Print_Titles" localSheetId="4">'(E) SUF Revenue-310,317'!$A:$A</definedName>
  </definedNames>
  <calcPr fullCalcOnLoad="1"/>
</workbook>
</file>

<file path=xl/sharedStrings.xml><?xml version="1.0" encoding="utf-8"?>
<sst xmlns="http://schemas.openxmlformats.org/spreadsheetml/2006/main" count="299" uniqueCount="167">
  <si>
    <t>Bakersfield</t>
  </si>
  <si>
    <t>Channel Islands</t>
  </si>
  <si>
    <t>Chico</t>
  </si>
  <si>
    <t>Dominguez Hills</t>
  </si>
  <si>
    <t>Fresno</t>
  </si>
  <si>
    <t>Fullerton</t>
  </si>
  <si>
    <t>Humboldt</t>
  </si>
  <si>
    <t>Long Beach</t>
  </si>
  <si>
    <t>Los Angeles</t>
  </si>
  <si>
    <t>Maritime Academy</t>
  </si>
  <si>
    <t>Monterey Bay</t>
  </si>
  <si>
    <t>Northridge</t>
  </si>
  <si>
    <t>Pomona</t>
  </si>
  <si>
    <t>Sacramento</t>
  </si>
  <si>
    <t>San Bernardino</t>
  </si>
  <si>
    <t>San Diego</t>
  </si>
  <si>
    <t>San Francisco</t>
  </si>
  <si>
    <t>San Jose</t>
  </si>
  <si>
    <t>San Luis Obispo</t>
  </si>
  <si>
    <t>San Marcos</t>
  </si>
  <si>
    <t>Sonoma</t>
  </si>
  <si>
    <t>Stanislaus</t>
  </si>
  <si>
    <t>Campus Total</t>
  </si>
  <si>
    <t>Chancellor's Office</t>
  </si>
  <si>
    <t>International Programs</t>
  </si>
  <si>
    <t>Summer Arts</t>
  </si>
  <si>
    <t>Systemwide Provisions</t>
  </si>
  <si>
    <t>CSU System Total</t>
  </si>
  <si>
    <t>Campus Reported Gross         Final Budget</t>
  </si>
  <si>
    <t>East Bay</t>
  </si>
  <si>
    <t>Campus Reported State University Fee Revenue</t>
  </si>
  <si>
    <r>
      <t>Other Fee Revenue and SWP Reim.</t>
    </r>
    <r>
      <rPr>
        <vertAlign val="superscript"/>
        <sz val="10"/>
        <rFont val="Times New Roman"/>
        <family val="1"/>
      </rPr>
      <t>1</t>
    </r>
  </si>
  <si>
    <t>CalStateTeach</t>
  </si>
  <si>
    <r>
      <t xml:space="preserve">Revised General Fund Base              </t>
    </r>
    <r>
      <rPr>
        <i/>
        <sz val="9"/>
        <color indexed="8"/>
        <rFont val="Times New Roman"/>
        <family val="1"/>
      </rPr>
      <t>(with retirement adjustment)</t>
    </r>
  </si>
  <si>
    <t>General Fund Allocation</t>
  </si>
  <si>
    <t>Energy</t>
  </si>
  <si>
    <t>Health</t>
  </si>
  <si>
    <t>Quarterly Payment Schedule</t>
  </si>
  <si>
    <t>Campus</t>
  </si>
  <si>
    <r>
      <t>Interest Assessment Total</t>
    </r>
    <r>
      <rPr>
        <b/>
        <vertAlign val="superscript"/>
        <sz val="12"/>
        <rFont val="Times New Roman"/>
        <family val="1"/>
      </rPr>
      <t>1</t>
    </r>
  </si>
  <si>
    <t>Total</t>
  </si>
  <si>
    <t>Total Mandatory Costs Increases</t>
  </si>
  <si>
    <t>2010/11 Gross Budget Allocation</t>
  </si>
  <si>
    <t>2009/10 FIRMS Final Budget Detail</t>
  </si>
  <si>
    <r>
      <t>B 09-02 General Fund Allocation</t>
    </r>
  </si>
  <si>
    <t>(Sum Cols. 1-3)</t>
  </si>
  <si>
    <t>2010/11 CSU Governor's Preliminary Budget</t>
  </si>
  <si>
    <r>
      <t>(=Col. 3)</t>
    </r>
    <r>
      <rPr>
        <i/>
        <vertAlign val="superscript"/>
        <sz val="9"/>
        <rFont val="Times New Roman"/>
        <family val="1"/>
      </rPr>
      <t>1</t>
    </r>
  </si>
  <si>
    <t>2009/10 Retirement Adjustment</t>
  </si>
  <si>
    <t>2009/10 B 09-02 General Fund Allocation</t>
  </si>
  <si>
    <t>(Cols. 3 + 6)</t>
  </si>
  <si>
    <t>2010/11 Governor's Budget, General Fund Base Adjustments</t>
  </si>
  <si>
    <t xml:space="preserve">The 2010/11 interest chargeback by campus is based on the campus operating revenue equivalent to the 2009/10 SUF and Other Fee Revenue reported in 2009/10 FIRMS final budget submissions. </t>
  </si>
  <si>
    <t>GF Base Expenditure Adjustment from Change in $571M Distribution</t>
  </si>
  <si>
    <t>2010/11           General Fund Base (after base budget adjustments)</t>
  </si>
  <si>
    <t>GF Base Adjustments (SWPs)</t>
  </si>
  <si>
    <t>General Fund Base Adjustments</t>
  </si>
  <si>
    <r>
      <t>New Space Need</t>
    </r>
    <r>
      <rPr>
        <vertAlign val="superscript"/>
        <sz val="11"/>
        <rFont val="Times New Roman"/>
        <family val="1"/>
      </rPr>
      <t xml:space="preserve"> 1</t>
    </r>
  </si>
  <si>
    <t>2010/11 GF Increase</t>
  </si>
  <si>
    <t>Unadjusted Other Fee Revenue and Reim.</t>
  </si>
  <si>
    <t>2010/11 Budget Plan</t>
  </si>
  <si>
    <t>Mandatory Cost Increases</t>
  </si>
  <si>
    <t>Col. 5 + 6</t>
  </si>
  <si>
    <t>State Support Expenditure Increases</t>
  </si>
  <si>
    <t>(Attach. C, Col. 7)</t>
  </si>
  <si>
    <r>
      <t xml:space="preserve">$305M Restoration of 2009/10 One-time Unallocated Reductions </t>
    </r>
    <r>
      <rPr>
        <b/>
        <vertAlign val="superscript"/>
        <sz val="11"/>
        <color indexed="8"/>
        <rFont val="Times New Roman"/>
        <family val="1"/>
      </rPr>
      <t>2</t>
    </r>
  </si>
  <si>
    <t>(Sum Cols. 7-9)</t>
  </si>
  <si>
    <t>(Cols. 1+5+6)</t>
  </si>
  <si>
    <r>
      <t xml:space="preserve">Revised General Fund Base             </t>
    </r>
    <r>
      <rPr>
        <i/>
        <sz val="9"/>
        <color indexed="8"/>
        <rFont val="Times New Roman"/>
        <family val="1"/>
      </rPr>
      <t xml:space="preserve"> (after redistrib. of GF base expenditure reduction)</t>
    </r>
  </si>
  <si>
    <t>(Cols. 1 + 2)</t>
  </si>
  <si>
    <t>2009/10 B 09-02, $571M General Fund Base Expenditure Reduction Distribution</t>
  </si>
  <si>
    <t>2010/11 $571M General Fund Base Expenditure Reduction Distribution</t>
  </si>
  <si>
    <t>FTES Target</t>
  </si>
  <si>
    <t>Enrollment Decline from 342,893 to 310,317 FTES Target</t>
  </si>
  <si>
    <t>= Col. 2</t>
  </si>
  <si>
    <t>Grand Total</t>
  </si>
  <si>
    <t>Resident Students</t>
  </si>
  <si>
    <t>Sub-Totals</t>
  </si>
  <si>
    <t>Change in Student Enrollment Patterns</t>
  </si>
  <si>
    <t>Resident Student Enrollment Reduction</t>
  </si>
  <si>
    <r>
      <t xml:space="preserve">Change in Student Enrollment Patterns </t>
    </r>
    <r>
      <rPr>
        <vertAlign val="superscript"/>
        <sz val="10.5"/>
        <color indexed="8"/>
        <rFont val="Times New Roman"/>
        <family val="1"/>
      </rPr>
      <t>1</t>
    </r>
  </si>
  <si>
    <r>
      <t xml:space="preserve">Change in Student Enrollment Patterns </t>
    </r>
    <r>
      <rPr>
        <vertAlign val="superscript"/>
        <sz val="10.5"/>
        <color indexed="8"/>
        <rFont val="Times New Roman"/>
        <family val="1"/>
      </rPr>
      <t>2</t>
    </r>
  </si>
  <si>
    <t>Nonresident Students</t>
  </si>
  <si>
    <t>FTES Estimate</t>
  </si>
  <si>
    <t>2009/10 Allocations From Final Budget Memo - July 2009</t>
  </si>
  <si>
    <t>SUG Academic Year (AY) Eligibility Based on 2008/09 Final Database With 2010/11 Fee Levels</t>
  </si>
  <si>
    <t>SUG AY Eligibility Further Adjusted to Reflect Funded Enrollment Targets from 2008/09 to 2010/11</t>
  </si>
  <si>
    <t xml:space="preserve">Total 2010/11 SUG Funding Available / 100% Distributed Based on Need </t>
  </si>
  <si>
    <t>$</t>
  </si>
  <si>
    <t>%</t>
  </si>
  <si>
    <t xml:space="preserve">Bakersfield       </t>
  </si>
  <si>
    <t xml:space="preserve">Chico             </t>
  </si>
  <si>
    <t xml:space="preserve">Dominguez Hills   </t>
  </si>
  <si>
    <t xml:space="preserve">Fresno            </t>
  </si>
  <si>
    <t xml:space="preserve">Fullerton         </t>
  </si>
  <si>
    <t xml:space="preserve">Humboldt          </t>
  </si>
  <si>
    <t xml:space="preserve">Long Beach        </t>
  </si>
  <si>
    <t xml:space="preserve">Los Angeles       </t>
  </si>
  <si>
    <t xml:space="preserve">Northridge        </t>
  </si>
  <si>
    <t xml:space="preserve">Pomona            </t>
  </si>
  <si>
    <t xml:space="preserve">Sacramento        </t>
  </si>
  <si>
    <t xml:space="preserve">San Bernardino    </t>
  </si>
  <si>
    <t xml:space="preserve">San Diego         </t>
  </si>
  <si>
    <t xml:space="preserve">San Francisco     </t>
  </si>
  <si>
    <t xml:space="preserve">San Jose          </t>
  </si>
  <si>
    <t xml:space="preserve">San Luis Obispo   </t>
  </si>
  <si>
    <t xml:space="preserve">San Marcos        </t>
  </si>
  <si>
    <t xml:space="preserve">Sonoma            </t>
  </si>
  <si>
    <t xml:space="preserve">Stanislaus        </t>
  </si>
  <si>
    <r>
      <t>2010/11 SUG Adjustment Distributed</t>
    </r>
    <r>
      <rPr>
        <b/>
        <i/>
        <sz val="11"/>
        <color indexed="8"/>
        <rFont val="Times New Roman"/>
        <family val="1"/>
      </rPr>
      <t xml:space="preserve">                    </t>
    </r>
  </si>
  <si>
    <t>-1/3rd of Col. 8</t>
  </si>
  <si>
    <t>Adjustments in SUG Set-Aside from Enrollment Decline and Summer SUF Rate Change</t>
  </si>
  <si>
    <t>Adjustments in SUG Set-Aside from Summer SUF Rate Change</t>
  </si>
  <si>
    <t>-1/3rd of Col. 5</t>
  </si>
  <si>
    <t>-1/3rd of Col. 10</t>
  </si>
  <si>
    <t>Col. 1 + 7</t>
  </si>
  <si>
    <t>Col. 3 + 8</t>
  </si>
  <si>
    <t>Col. 4 + 9</t>
  </si>
  <si>
    <t>Col. 5 + 10</t>
  </si>
  <si>
    <t>Col. 6 + 11</t>
  </si>
  <si>
    <t>2010/11 SUF Revenue Adjustment - Provisional before Financial Aid Adjustment</t>
  </si>
  <si>
    <t>Financial Aid Adjustment</t>
  </si>
  <si>
    <t>2010/11 SUF Revenue Adjustment - Provisional Net of Financial Aid</t>
  </si>
  <si>
    <t>Col. 15 + 17</t>
  </si>
  <si>
    <t>Col. 18 + 19</t>
  </si>
  <si>
    <t>TOTALS</t>
  </si>
  <si>
    <t>Cols. 12+13+14+16</t>
  </si>
  <si>
    <t>General Fund</t>
  </si>
  <si>
    <t>SUF Revenue</t>
  </si>
  <si>
    <t>2010/11 SUF Revenue Adjustment (as of July 2010)</t>
  </si>
  <si>
    <r>
      <t xml:space="preserve">2.5% Enrollment Growth </t>
    </r>
    <r>
      <rPr>
        <b/>
        <vertAlign val="superscript"/>
        <sz val="11"/>
        <color indexed="8"/>
        <rFont val="Times New Roman"/>
        <family val="1"/>
      </rPr>
      <t>2</t>
    </r>
  </si>
  <si>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>Held in SWP pending enactment of 2010/11 state budget and subsequent decisions on enrollment targets and use of funds.</t>
    </r>
  </si>
  <si>
    <t>State University Fee Revenue</t>
  </si>
  <si>
    <t>(Cols. 2+7)</t>
  </si>
  <si>
    <t>(Attach. E, Col. 18)</t>
  </si>
  <si>
    <t>ATTACHMENT D - CSU Operating Revenue - 2010/11 Interest Payment Schedule</t>
  </si>
  <si>
    <t xml:space="preserve">ATTACHMENT F - Preliminary 2010/11 State University Grant (SUG) Adjustment </t>
  </si>
  <si>
    <t>Financial Aid / SUG Distribution Based on Need</t>
  </si>
  <si>
    <t>09-10 FTES Target</t>
  </si>
  <si>
    <t>column hide</t>
  </si>
  <si>
    <t>-1/3rd of Col. 3 &amp;-$791 2009/10 MC SUG * FTES decline</t>
  </si>
  <si>
    <t>Total Financial Aid Set-Aside Adjustment</t>
  </si>
  <si>
    <t>(Attach. F/Col. 3)</t>
  </si>
  <si>
    <t>(Attach. E/Col. 19)</t>
  </si>
  <si>
    <t>ATTACHMENT A - AUGUST REVISED 2010/11 Governor's Budget Allocations, Gross Budget Summary</t>
  </si>
  <si>
    <t>ATTACHMENT B - AUGUST REVISED 2010/11 Governor's Budget Base Adjustments</t>
  </si>
  <si>
    <t>ATTACHMENT C - AUGUST REVISED 2010/11 Mandatory Cost Increases / 2010/11 Governor's Budget GF Restoration and Enrollment Growth</t>
  </si>
  <si>
    <t>ATTACHMENT E -- AUGUST REVISED (CONT.)</t>
  </si>
  <si>
    <r>
      <rPr>
        <vertAlign val="superscript"/>
        <sz val="11"/>
        <color indexed="8"/>
        <rFont val="Times New Roman"/>
        <family val="1"/>
      </rPr>
      <t>1</t>
    </r>
    <r>
      <rPr>
        <sz val="11"/>
        <color indexed="8"/>
        <rFont val="Times New Roman"/>
        <family val="1"/>
      </rPr>
      <t xml:space="preserve"> Represents change in actual student enrollment patterns from 2007/08 to 2008/09 (most recent past-year actual available at Governor's Budget)</t>
    </r>
  </si>
  <si>
    <r>
      <rPr>
        <vertAlign val="superscript"/>
        <sz val="11"/>
        <color indexed="8"/>
        <rFont val="Times New Roman"/>
        <family val="1"/>
      </rPr>
      <t>2</t>
    </r>
    <r>
      <rPr>
        <sz val="11"/>
        <color indexed="8"/>
        <rFont val="Times New Roman"/>
        <family val="1"/>
      </rPr>
      <t xml:space="preserve"> The nonresident FTES is equal to the most recent past-year actual available (2008/09) and increased from 2007/08 actual of 14,510 FTES</t>
    </r>
  </si>
  <si>
    <t>(Cols. 2 + 6 + 8-10)</t>
  </si>
  <si>
    <t>(Cols. 1+11)</t>
  </si>
  <si>
    <t>(Attach. B, Col. 11)</t>
  </si>
  <si>
    <t>2009/10 SUF Rate Change Applied to Lagging Summer Term for Rate Change Purposes</t>
  </si>
  <si>
    <t>Represents other CSU Operating Fund fee revenue besides State University Fee; the only reimbursement shown is lease bond payments in SWPs and the 2010/11 amount is a placeholder</t>
  </si>
  <si>
    <t>(Cols. 5 - 4)</t>
  </si>
  <si>
    <t>(Cols. 2 - 1)</t>
  </si>
  <si>
    <t>2010/11 SUG Adjustment based on Governor's Budget SUF Revenue Increase and 310,317 FTES Base</t>
  </si>
  <si>
    <t>2010/11 Gov. Bud. Revenue Equiv. to Full-AY 10% SUF Rate Increase</t>
  </si>
  <si>
    <t xml:space="preserve">ATTACHMENT E -- AUGUST REVISED 2010/11 SUF Revenue Adjustment - Based on Provisional Reduced Student Enrollment Targets and Governor's Budget SUF Revenue </t>
  </si>
  <si>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The total CSU 2010/11 operating revenue interest assessment is $7.2M, which represents a -$.91M adjustment from the 2009/10 $8.15M level.  CSU is obligated by budget statute to keep the state whole for interest earned on student fee revenue held in trust. This was the result of a state/CSU agreement when CSU support operations moved from the GF to the Trust Fund in 2006/07. </t>
    </r>
  </si>
  <si>
    <t>Resident + Nonresident FTES Estimate</t>
  </si>
  <si>
    <r>
      <rPr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Based on 2010/11 new space need @ $9.73 sq. ft.; August revision adds new space need for CSULA </t>
    </r>
  </si>
  <si>
    <t>(Included with the 2010/11 budget allocation memo for information only)</t>
  </si>
  <si>
    <t>Coded Memo B 10-02, August 6, 2010</t>
  </si>
  <si>
    <t>One-Third Financial Aid Set-Aside on Gov. Bud. SUF Revenue Increase</t>
  </si>
  <si>
    <r>
      <rPr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Includes operating fee revenue interest assessment adjustment (+$910,500) in Systemwide Provisions (SWP); transfers from SWP to C.O. for Assist Program ($269,418) headquarters rent and insurance ($2,293,095), Council on Science and Technology dues ($143,250), and Federal Relations ($25,000); transfer from SWPs to CSU Bakersfield ($74,917); transfer from SWPs to CSU Long Beach ($8,288); SWP lease revenue bonds increase ($4.6M-2009/10, $8.1M-2010/11), dental annuitants funding adjustment ($663,000), and retired 1997 deferred maintenance debt decrease ($1,878,000).</t>
    </r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</si>
</sst>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  <numFmt numFmtId="166" formatCode="_(* #,##0_);_(* \(#,##0\);_(* &quot;-&quot;??_);_(@_)"/>
    <numFmt numFmtId="167" formatCode="mmm\-yyyy"/>
    <numFmt numFmtId="168" formatCode="0.0000%"/>
    <numFmt numFmtId="169" formatCode="0.00000%"/>
    <numFmt numFmtId="170" formatCode="0.000%"/>
  </numFmts>
  <fonts count="111">
    <font>
      <sz val="10"/>
      <name val="Times New Roman"/>
      <family val="0"/>
    </font>
    <font>
      <sz val="11"/>
      <color indexed="8"/>
      <name val="Calibri"/>
      <family val="2"/>
    </font>
    <font>
      <sz val="12"/>
      <color indexed="8"/>
      <name val="Times New Roman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8"/>
      <name val="Times New Roman"/>
      <family val="1"/>
    </font>
    <font>
      <vertAlign val="superscript"/>
      <sz val="10"/>
      <name val="Times New Roman"/>
      <family val="1"/>
    </font>
    <font>
      <sz val="10"/>
      <color indexed="8"/>
      <name val="Times New Roman"/>
      <family val="1"/>
    </font>
    <font>
      <i/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8"/>
      <color indexed="8"/>
      <name val="Times New Roman"/>
      <family val="1"/>
    </font>
    <font>
      <b/>
      <sz val="13"/>
      <name val="Times New Roman"/>
      <family val="1"/>
    </font>
    <font>
      <vertAlign val="superscript"/>
      <sz val="11"/>
      <name val="Times New Roman"/>
      <family val="1"/>
    </font>
    <font>
      <i/>
      <sz val="10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9"/>
      <color indexed="8"/>
      <name val="Times New Roman"/>
      <family val="1"/>
    </font>
    <font>
      <sz val="10"/>
      <name val="Arial"/>
      <family val="2"/>
    </font>
    <font>
      <b/>
      <i/>
      <sz val="12"/>
      <name val="Times New Roman"/>
      <family val="1"/>
    </font>
    <font>
      <i/>
      <vertAlign val="superscript"/>
      <sz val="9"/>
      <name val="Times New Roman"/>
      <family val="1"/>
    </font>
    <font>
      <sz val="9"/>
      <name val="Times New Roman"/>
      <family val="1"/>
    </font>
    <font>
      <sz val="11"/>
      <color indexed="8"/>
      <name val="Times New Roman"/>
      <family val="1"/>
    </font>
    <font>
      <sz val="11"/>
      <color indexed="19"/>
      <name val="Times New Roman"/>
      <family val="1"/>
    </font>
    <font>
      <i/>
      <sz val="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vertAlign val="superscript"/>
      <sz val="10"/>
      <color indexed="8"/>
      <name val="Times New Roman"/>
      <family val="1"/>
    </font>
    <font>
      <b/>
      <sz val="13"/>
      <color indexed="8"/>
      <name val="Times New Roman"/>
      <family val="1"/>
    </font>
    <font>
      <i/>
      <sz val="12"/>
      <name val="Times New Roman"/>
      <family val="1"/>
    </font>
    <font>
      <b/>
      <vertAlign val="superscript"/>
      <sz val="12"/>
      <name val="Times New Roman"/>
      <family val="1"/>
    </font>
    <font>
      <vertAlign val="superscript"/>
      <sz val="12"/>
      <name val="Times New Roman"/>
      <family val="1"/>
    </font>
    <font>
      <vertAlign val="superscript"/>
      <sz val="11"/>
      <color indexed="10"/>
      <name val="Times New Roman"/>
      <family val="1"/>
    </font>
    <font>
      <b/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i/>
      <sz val="8"/>
      <color indexed="10"/>
      <name val="Times New Roman"/>
      <family val="1"/>
    </font>
    <font>
      <sz val="12"/>
      <color indexed="10"/>
      <name val="Times New Roman"/>
      <family val="1"/>
    </font>
    <font>
      <i/>
      <sz val="12"/>
      <color indexed="10"/>
      <name val="Times New Roman"/>
      <family val="1"/>
    </font>
    <font>
      <b/>
      <vertAlign val="superscript"/>
      <sz val="11"/>
      <color indexed="8"/>
      <name val="Times New Roman"/>
      <family val="1"/>
    </font>
    <font>
      <vertAlign val="superscript"/>
      <sz val="11"/>
      <color indexed="8"/>
      <name val="Times New Roman"/>
      <family val="1"/>
    </font>
    <font>
      <i/>
      <sz val="10"/>
      <color indexed="18"/>
      <name val="Times New Roman"/>
      <family val="1"/>
    </font>
    <font>
      <b/>
      <sz val="14"/>
      <color indexed="8"/>
      <name val="Times New Roman"/>
      <family val="1"/>
    </font>
    <font>
      <sz val="10.5"/>
      <color indexed="8"/>
      <name val="Times New Roman"/>
      <family val="1"/>
    </font>
    <font>
      <vertAlign val="superscript"/>
      <sz val="10.5"/>
      <color indexed="8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9"/>
      <name val="Times New Roman"/>
      <family val="1"/>
    </font>
    <font>
      <b/>
      <i/>
      <sz val="14"/>
      <color indexed="9"/>
      <name val="Times New Roman"/>
      <family val="1"/>
    </font>
    <font>
      <i/>
      <sz val="10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2"/>
      <color theme="1"/>
      <name val="Times New Roman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vertAlign val="superscript"/>
      <sz val="11"/>
      <color rgb="FFFF0000"/>
      <name val="Times New Roman"/>
      <family val="1"/>
    </font>
    <font>
      <sz val="10"/>
      <color rgb="FFFF0000"/>
      <name val="Times New Roman"/>
      <family val="1"/>
    </font>
    <font>
      <sz val="11"/>
      <color theme="1"/>
      <name val="Times New Roman"/>
      <family val="1"/>
    </font>
    <font>
      <b/>
      <sz val="13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3"/>
      <color theme="1"/>
      <name val="Times New Roman"/>
      <family val="1"/>
    </font>
    <font>
      <i/>
      <sz val="8"/>
      <color rgb="FFFF0000"/>
      <name val="Times New Roman"/>
      <family val="1"/>
    </font>
    <font>
      <b/>
      <sz val="10"/>
      <color theme="1"/>
      <name val="Times New Roman"/>
      <family val="1"/>
    </font>
    <font>
      <sz val="12"/>
      <color rgb="FFFF0000"/>
      <name val="Times New Roman"/>
      <family val="1"/>
    </font>
    <font>
      <i/>
      <sz val="12"/>
      <color rgb="FFFF0000"/>
      <name val="Times New Roman"/>
      <family val="1"/>
    </font>
    <font>
      <vertAlign val="superscript"/>
      <sz val="11"/>
      <color theme="1"/>
      <name val="Times New Roman"/>
      <family val="1"/>
    </font>
    <font>
      <i/>
      <sz val="10"/>
      <color theme="3" tint="-0.24997000396251678"/>
      <name val="Times New Roman"/>
      <family val="1"/>
    </font>
    <font>
      <b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vertAlign val="superscript"/>
      <sz val="10"/>
      <color theme="1"/>
      <name val="Times New Roman"/>
      <family val="1"/>
    </font>
    <font>
      <sz val="10.5"/>
      <color theme="1"/>
      <name val="Times New Roman"/>
      <family val="1"/>
    </font>
    <font>
      <b/>
      <sz val="14"/>
      <color theme="1"/>
      <name val="Times New Roman"/>
      <family val="1"/>
    </font>
    <font>
      <b/>
      <sz val="14"/>
      <color theme="0"/>
      <name val="Times New Roman"/>
      <family val="1"/>
    </font>
    <font>
      <b/>
      <i/>
      <sz val="14"/>
      <color theme="0"/>
      <name val="Times New Roman"/>
      <family val="1"/>
    </font>
    <font>
      <i/>
      <sz val="9"/>
      <color theme="1"/>
      <name val="Times New Roman"/>
      <family val="1"/>
    </font>
    <font>
      <b/>
      <sz val="11"/>
      <color rgb="FFFF0000"/>
      <name val="Times New Roman"/>
      <family val="1"/>
    </font>
    <font>
      <i/>
      <sz val="10"/>
      <color rgb="FFFF0000"/>
      <name val="Times New Roman"/>
      <family val="1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thin"/>
      <bottom style="thin"/>
    </border>
    <border>
      <left/>
      <right/>
      <top style="thin"/>
      <bottom style="medium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/>
      <right/>
      <top/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medium"/>
      <bottom/>
    </border>
    <border>
      <left style="medium"/>
      <right/>
      <top style="thin"/>
      <bottom style="medium"/>
    </border>
    <border>
      <left style="medium"/>
      <right style="medium"/>
      <top style="thin"/>
      <bottom style="medium"/>
    </border>
    <border>
      <left style="medium"/>
      <right/>
      <top/>
      <bottom/>
    </border>
    <border>
      <left style="medium"/>
      <right style="medium"/>
      <top/>
      <bottom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/>
    </border>
    <border>
      <left/>
      <right style="medium"/>
      <top style="thin"/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/>
      <top style="medium"/>
      <bottom style="thin"/>
    </border>
    <border>
      <left/>
      <right style="thin"/>
      <top style="thin"/>
      <bottom/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</borders>
  <cellStyleXfs count="8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0" fillId="20" borderId="0" applyNumberFormat="0" applyBorder="0" applyAlignment="0" applyProtection="0"/>
    <xf numFmtId="0" fontId="70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71" fillId="26" borderId="0" applyNumberFormat="0" applyBorder="0" applyAlignment="0" applyProtection="0"/>
    <xf numFmtId="0" fontId="72" fillId="27" borderId="1" applyNumberFormat="0" applyAlignment="0" applyProtection="0"/>
    <xf numFmtId="0" fontId="7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76" fillId="29" borderId="0" applyNumberFormat="0" applyBorder="0" applyAlignment="0" applyProtection="0"/>
    <xf numFmtId="0" fontId="77" fillId="0" borderId="3" applyNumberFormat="0" applyFill="0" applyAlignment="0" applyProtection="0"/>
    <xf numFmtId="0" fontId="78" fillId="0" borderId="4" applyNumberFormat="0" applyFill="0" applyAlignment="0" applyProtection="0"/>
    <xf numFmtId="0" fontId="79" fillId="0" borderId="5" applyNumberFormat="0" applyFill="0" applyAlignment="0" applyProtection="0"/>
    <xf numFmtId="0" fontId="79" fillId="0" borderId="0" applyNumberFormat="0" applyFill="0" applyBorder="0" applyAlignment="0" applyProtection="0"/>
    <xf numFmtId="0" fontId="80" fillId="30" borderId="1" applyNumberFormat="0" applyAlignment="0" applyProtection="0"/>
    <xf numFmtId="0" fontId="81" fillId="0" borderId="6" applyNumberFormat="0" applyFill="0" applyAlignment="0" applyProtection="0"/>
    <xf numFmtId="0" fontId="8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0" fillId="32" borderId="7" applyNumberFormat="0" applyFont="0" applyAlignment="0" applyProtection="0"/>
    <xf numFmtId="0" fontId="83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9" applyNumberFormat="0" applyFill="0" applyAlignment="0" applyProtection="0"/>
    <xf numFmtId="0" fontId="86" fillId="0" borderId="0" applyNumberFormat="0" applyFill="0" applyBorder="0" applyAlignment="0" applyProtection="0"/>
  </cellStyleXfs>
  <cellXfs count="431">
    <xf numFmtId="0" fontId="0" fillId="0" borderId="0" xfId="0" applyAlignment="1">
      <alignment/>
    </xf>
    <xf numFmtId="37" fontId="0" fillId="0" borderId="0" xfId="0" applyNumberFormat="1" applyFill="1" applyAlignment="1">
      <alignment/>
    </xf>
    <xf numFmtId="37" fontId="5" fillId="0" borderId="0" xfId="0" applyNumberFormat="1" applyFont="1" applyFill="1" applyAlignment="1">
      <alignment/>
    </xf>
    <xf numFmtId="37" fontId="3" fillId="0" borderId="10" xfId="0" applyNumberFormat="1" applyFont="1" applyFill="1" applyBorder="1" applyAlignment="1">
      <alignment horizontal="center" vertical="center"/>
    </xf>
    <xf numFmtId="37" fontId="0" fillId="0" borderId="0" xfId="0" applyNumberFormat="1" applyFill="1" applyAlignment="1">
      <alignment vertical="center"/>
    </xf>
    <xf numFmtId="37" fontId="3" fillId="0" borderId="0" xfId="0" applyNumberFormat="1" applyFont="1" applyFill="1" applyBorder="1" applyAlignment="1">
      <alignment horizontal="center" vertical="center"/>
    </xf>
    <xf numFmtId="37" fontId="4" fillId="0" borderId="0" xfId="0" applyNumberFormat="1" applyFont="1" applyFill="1" applyAlignment="1">
      <alignment horizontal="center" vertical="center" wrapText="1"/>
    </xf>
    <xf numFmtId="5" fontId="0" fillId="0" borderId="0" xfId="0" applyNumberFormat="1" applyFill="1" applyAlignment="1">
      <alignment/>
    </xf>
    <xf numFmtId="37" fontId="0" fillId="0" borderId="0" xfId="0" applyNumberFormat="1" applyFill="1" applyBorder="1" applyAlignment="1">
      <alignment/>
    </xf>
    <xf numFmtId="5" fontId="0" fillId="0" borderId="0" xfId="0" applyNumberFormat="1" applyFill="1" applyBorder="1" applyAlignment="1">
      <alignment/>
    </xf>
    <xf numFmtId="5" fontId="0" fillId="0" borderId="0" xfId="0" applyNumberFormat="1" applyFont="1" applyFill="1" applyAlignment="1">
      <alignment/>
    </xf>
    <xf numFmtId="37" fontId="0" fillId="0" borderId="0" xfId="0" applyNumberFormat="1" applyFont="1" applyFill="1" applyAlignment="1">
      <alignment/>
    </xf>
    <xf numFmtId="5" fontId="0" fillId="0" borderId="11" xfId="0" applyNumberFormat="1" applyFill="1" applyBorder="1" applyAlignment="1">
      <alignment/>
    </xf>
    <xf numFmtId="5" fontId="0" fillId="0" borderId="12" xfId="0" applyNumberFormat="1" applyFill="1" applyBorder="1" applyAlignment="1">
      <alignment/>
    </xf>
    <xf numFmtId="37" fontId="0" fillId="0" borderId="10" xfId="0" applyNumberFormat="1" applyFill="1" applyBorder="1" applyAlignment="1">
      <alignment horizontal="center" wrapText="1"/>
    </xf>
    <xf numFmtId="37" fontId="0" fillId="0" borderId="0" xfId="0" applyNumberFormat="1" applyFill="1" applyAlignment="1">
      <alignment horizontal="center" wrapText="1"/>
    </xf>
    <xf numFmtId="37" fontId="4" fillId="0" borderId="0" xfId="0" applyNumberFormat="1" applyFont="1" applyFill="1" applyBorder="1" applyAlignment="1">
      <alignment horizontal="center" vertical="center" wrapText="1"/>
    </xf>
    <xf numFmtId="37" fontId="10" fillId="0" borderId="0" xfId="0" applyNumberFormat="1" applyFont="1" applyFill="1" applyAlignment="1">
      <alignment horizontal="center" vertical="center" wrapText="1"/>
    </xf>
    <xf numFmtId="37" fontId="7" fillId="0" borderId="0" xfId="0" applyNumberFormat="1" applyFont="1" applyFill="1" applyAlignment="1">
      <alignment horizontal="center" vertical="center" wrapText="1"/>
    </xf>
    <xf numFmtId="37" fontId="7" fillId="0" borderId="0" xfId="0" applyNumberFormat="1" applyFont="1" applyFill="1" applyBorder="1" applyAlignment="1">
      <alignment horizontal="center" vertical="center" wrapText="1"/>
    </xf>
    <xf numFmtId="37" fontId="0" fillId="0" borderId="0" xfId="0" applyNumberFormat="1" applyFont="1" applyFill="1" applyAlignment="1" applyProtection="1">
      <alignment/>
      <protection locked="0"/>
    </xf>
    <xf numFmtId="5" fontId="9" fillId="0" borderId="12" xfId="0" applyNumberFormat="1" applyFont="1" applyFill="1" applyBorder="1" applyAlignment="1">
      <alignment/>
    </xf>
    <xf numFmtId="37" fontId="0" fillId="0" borderId="0" xfId="0" applyNumberFormat="1" applyFill="1" applyBorder="1" applyAlignment="1">
      <alignment/>
    </xf>
    <xf numFmtId="37" fontId="0" fillId="0" borderId="0" xfId="0" applyNumberFormat="1" applyFill="1" applyAlignment="1">
      <alignment/>
    </xf>
    <xf numFmtId="37" fontId="6" fillId="0" borderId="0" xfId="0" applyNumberFormat="1" applyFont="1" applyFill="1" applyAlignment="1">
      <alignment/>
    </xf>
    <xf numFmtId="37" fontId="6" fillId="0" borderId="0" xfId="0" applyNumberFormat="1" applyFont="1" applyFill="1" applyAlignment="1">
      <alignment horizontal="center"/>
    </xf>
    <xf numFmtId="37" fontId="0" fillId="0" borderId="0" xfId="0" applyNumberFormat="1" applyFont="1" applyFill="1" applyBorder="1" applyAlignment="1">
      <alignment horizontal="center" wrapText="1"/>
    </xf>
    <xf numFmtId="37" fontId="0" fillId="0" borderId="0" xfId="0" applyNumberFormat="1" applyFont="1" applyFill="1" applyBorder="1" applyAlignment="1">
      <alignment/>
    </xf>
    <xf numFmtId="5" fontId="0" fillId="0" borderId="0" xfId="0" applyNumberFormat="1" applyFont="1" applyFill="1" applyBorder="1" applyAlignment="1">
      <alignment/>
    </xf>
    <xf numFmtId="37" fontId="0" fillId="0" borderId="0" xfId="0" applyNumberFormat="1" applyFill="1" applyAlignment="1">
      <alignment vertical="top"/>
    </xf>
    <xf numFmtId="37" fontId="6" fillId="0" borderId="0" xfId="0" applyNumberFormat="1" applyFont="1" applyFill="1" applyBorder="1" applyAlignment="1">
      <alignment horizontal="center"/>
    </xf>
    <xf numFmtId="37" fontId="12" fillId="0" borderId="0" xfId="0" applyNumberFormat="1" applyFont="1" applyFill="1" applyAlignment="1">
      <alignment/>
    </xf>
    <xf numFmtId="37" fontId="8" fillId="0" borderId="0" xfId="0" applyNumberFormat="1" applyFont="1" applyFill="1" applyBorder="1" applyAlignment="1">
      <alignment horizontal="left" wrapText="1"/>
    </xf>
    <xf numFmtId="37" fontId="13" fillId="0" borderId="13" xfId="0" applyNumberFormat="1" applyFont="1" applyFill="1" applyBorder="1" applyAlignment="1">
      <alignment horizontal="center" wrapText="1"/>
    </xf>
    <xf numFmtId="37" fontId="0" fillId="0" borderId="0" xfId="0" applyNumberFormat="1" applyFont="1" applyFill="1" applyBorder="1" applyAlignment="1">
      <alignment horizontal="right" indent="1"/>
    </xf>
    <xf numFmtId="37" fontId="0" fillId="0" borderId="0" xfId="0" applyNumberFormat="1" applyFill="1" applyBorder="1" applyAlignment="1">
      <alignment horizontal="center" wrapText="1"/>
    </xf>
    <xf numFmtId="37" fontId="9" fillId="0" borderId="14" xfId="0" applyNumberFormat="1" applyFont="1" applyFill="1" applyBorder="1" applyAlignment="1">
      <alignment horizontal="center" wrapText="1"/>
    </xf>
    <xf numFmtId="37" fontId="9" fillId="0" borderId="0" xfId="0" applyNumberFormat="1" applyFont="1" applyFill="1" applyBorder="1" applyAlignment="1">
      <alignment/>
    </xf>
    <xf numFmtId="37" fontId="9" fillId="0" borderId="0" xfId="0" applyNumberFormat="1" applyFont="1" applyFill="1" applyBorder="1" applyAlignment="1">
      <alignment/>
    </xf>
    <xf numFmtId="37" fontId="13" fillId="0" borderId="0" xfId="0" applyNumberFormat="1" applyFont="1" applyFill="1" applyBorder="1" applyAlignment="1">
      <alignment horizontal="center" wrapText="1"/>
    </xf>
    <xf numFmtId="37" fontId="9" fillId="0" borderId="13" xfId="0" applyNumberFormat="1" applyFont="1" applyFill="1" applyBorder="1" applyAlignment="1">
      <alignment/>
    </xf>
    <xf numFmtId="37" fontId="9" fillId="0" borderId="0" xfId="0" applyNumberFormat="1" applyFont="1" applyFill="1" applyBorder="1" applyAlignment="1">
      <alignment horizontal="center" wrapText="1"/>
    </xf>
    <xf numFmtId="37" fontId="0" fillId="0" borderId="10" xfId="0" applyNumberFormat="1" applyFont="1" applyFill="1" applyBorder="1" applyAlignment="1">
      <alignment horizontal="center" wrapText="1"/>
    </xf>
    <xf numFmtId="5" fontId="12" fillId="0" borderId="11" xfId="0" applyNumberFormat="1" applyFont="1" applyFill="1" applyBorder="1" applyAlignment="1">
      <alignment/>
    </xf>
    <xf numFmtId="5" fontId="12" fillId="0" borderId="12" xfId="0" applyNumberFormat="1" applyFont="1" applyFill="1" applyBorder="1" applyAlignment="1">
      <alignment/>
    </xf>
    <xf numFmtId="37" fontId="3" fillId="0" borderId="10" xfId="0" applyNumberFormat="1" applyFont="1" applyFill="1" applyBorder="1" applyAlignment="1">
      <alignment vertical="center"/>
    </xf>
    <xf numFmtId="37" fontId="0" fillId="0" borderId="0" xfId="0" applyNumberFormat="1" applyFont="1" applyFill="1" applyAlignment="1">
      <alignment vertical="center"/>
    </xf>
    <xf numFmtId="37" fontId="12" fillId="0" borderId="0" xfId="0" applyNumberFormat="1" applyFont="1" applyFill="1" applyAlignment="1">
      <alignment/>
    </xf>
    <xf numFmtId="5" fontId="12" fillId="0" borderId="11" xfId="0" applyNumberFormat="1" applyFont="1" applyFill="1" applyBorder="1" applyAlignment="1">
      <alignment/>
    </xf>
    <xf numFmtId="5" fontId="12" fillId="0" borderId="0" xfId="0" applyNumberFormat="1" applyFont="1" applyFill="1" applyBorder="1" applyAlignment="1">
      <alignment/>
    </xf>
    <xf numFmtId="37" fontId="12" fillId="0" borderId="0" xfId="0" applyNumberFormat="1" applyFont="1" applyFill="1" applyBorder="1" applyAlignment="1">
      <alignment/>
    </xf>
    <xf numFmtId="5" fontId="12" fillId="0" borderId="0" xfId="0" applyNumberFormat="1" applyFont="1" applyFill="1" applyAlignment="1">
      <alignment/>
    </xf>
    <xf numFmtId="5" fontId="12" fillId="0" borderId="12" xfId="0" applyNumberFormat="1" applyFont="1" applyFill="1" applyBorder="1" applyAlignment="1">
      <alignment/>
    </xf>
    <xf numFmtId="37" fontId="0" fillId="0" borderId="0" xfId="0" applyNumberFormat="1" applyFont="1" applyFill="1" applyBorder="1" applyAlignment="1">
      <alignment vertical="center"/>
    </xf>
    <xf numFmtId="37" fontId="0" fillId="0" borderId="0" xfId="0" applyNumberFormat="1" applyFill="1" applyBorder="1" applyAlignment="1">
      <alignment vertical="center"/>
    </xf>
    <xf numFmtId="5" fontId="12" fillId="0" borderId="15" xfId="0" applyNumberFormat="1" applyFont="1" applyFill="1" applyBorder="1" applyAlignment="1">
      <alignment/>
    </xf>
    <xf numFmtId="5" fontId="12" fillId="0" borderId="0" xfId="0" applyNumberFormat="1" applyFont="1" applyFill="1" applyAlignment="1">
      <alignment/>
    </xf>
    <xf numFmtId="5" fontId="12" fillId="0" borderId="13" xfId="0" applyNumberFormat="1" applyFont="1" applyFill="1" applyBorder="1" applyAlignment="1">
      <alignment/>
    </xf>
    <xf numFmtId="37" fontId="12" fillId="0" borderId="13" xfId="0" applyNumberFormat="1" applyFont="1" applyFill="1" applyBorder="1" applyAlignment="1">
      <alignment/>
    </xf>
    <xf numFmtId="5" fontId="12" fillId="0" borderId="16" xfId="0" applyNumberFormat="1" applyFont="1" applyFill="1" applyBorder="1" applyAlignment="1">
      <alignment/>
    </xf>
    <xf numFmtId="5" fontId="12" fillId="0" borderId="17" xfId="0" applyNumberFormat="1" applyFont="1" applyFill="1" applyBorder="1" applyAlignment="1">
      <alignment/>
    </xf>
    <xf numFmtId="37" fontId="14" fillId="0" borderId="0" xfId="0" applyNumberFormat="1" applyFont="1" applyFill="1" applyAlignment="1">
      <alignment/>
    </xf>
    <xf numFmtId="37" fontId="10" fillId="0" borderId="0" xfId="0" applyNumberFormat="1" applyFont="1" applyFill="1" applyBorder="1" applyAlignment="1" quotePrefix="1">
      <alignment horizontal="center" vertical="center" wrapText="1"/>
    </xf>
    <xf numFmtId="37" fontId="15" fillId="0" borderId="0" xfId="0" applyNumberFormat="1" applyFont="1" applyFill="1" applyAlignment="1">
      <alignment vertical="top"/>
    </xf>
    <xf numFmtId="37" fontId="0" fillId="0" borderId="0" xfId="0" applyNumberFormat="1" applyFill="1" applyBorder="1" applyAlignment="1">
      <alignment vertical="top"/>
    </xf>
    <xf numFmtId="37" fontId="0" fillId="0" borderId="0" xfId="0" applyNumberFormat="1" applyFill="1" applyAlignment="1">
      <alignment horizontal="center" vertical="top"/>
    </xf>
    <xf numFmtId="37" fontId="11" fillId="0" borderId="0" xfId="0" applyNumberFormat="1" applyFont="1" applyFill="1" applyAlignment="1">
      <alignment/>
    </xf>
    <xf numFmtId="37" fontId="11" fillId="0" borderId="0" xfId="0" applyNumberFormat="1" applyFont="1" applyFill="1" applyBorder="1" applyAlignment="1">
      <alignment horizontal="center"/>
    </xf>
    <xf numFmtId="37" fontId="11" fillId="0" borderId="0" xfId="0" applyNumberFormat="1" applyFont="1" applyFill="1" applyAlignment="1">
      <alignment horizontal="center"/>
    </xf>
    <xf numFmtId="37" fontId="87" fillId="0" borderId="0" xfId="0" applyNumberFormat="1" applyFont="1" applyFill="1" applyBorder="1" applyAlignment="1">
      <alignment horizontal="center" wrapText="1"/>
    </xf>
    <xf numFmtId="5" fontId="12" fillId="0" borderId="13" xfId="0" applyNumberFormat="1" applyFont="1" applyFill="1" applyBorder="1" applyAlignment="1">
      <alignment horizontal="right" indent="1"/>
    </xf>
    <xf numFmtId="37" fontId="12" fillId="0" borderId="13" xfId="0" applyNumberFormat="1" applyFont="1" applyFill="1" applyBorder="1" applyAlignment="1">
      <alignment horizontal="right" indent="1"/>
    </xf>
    <xf numFmtId="5" fontId="12" fillId="0" borderId="16" xfId="0" applyNumberFormat="1" applyFont="1" applyFill="1" applyBorder="1" applyAlignment="1">
      <alignment horizontal="right" indent="1"/>
    </xf>
    <xf numFmtId="37" fontId="88" fillId="0" borderId="0" xfId="0" applyNumberFormat="1" applyFont="1" applyFill="1" applyAlignment="1">
      <alignment/>
    </xf>
    <xf numFmtId="37" fontId="0" fillId="0" borderId="0" xfId="67" applyNumberFormat="1" applyFont="1">
      <alignment/>
      <protection/>
    </xf>
    <xf numFmtId="5" fontId="0" fillId="0" borderId="0" xfId="67" applyNumberFormat="1" applyFont="1">
      <alignment/>
      <protection/>
    </xf>
    <xf numFmtId="37" fontId="12" fillId="0" borderId="0" xfId="67" applyNumberFormat="1" applyFont="1" applyFill="1" applyAlignment="1">
      <alignment vertical="top"/>
      <protection/>
    </xf>
    <xf numFmtId="37" fontId="12" fillId="0" borderId="0" xfId="67" applyNumberFormat="1" applyFont="1" applyFill="1" applyBorder="1" applyAlignment="1">
      <alignment/>
      <protection/>
    </xf>
    <xf numFmtId="5" fontId="12" fillId="0" borderId="11" xfId="67" applyNumberFormat="1" applyFont="1" applyFill="1" applyBorder="1" applyAlignment="1">
      <alignment/>
      <protection/>
    </xf>
    <xf numFmtId="5" fontId="12" fillId="0" borderId="12" xfId="67" applyNumberFormat="1" applyFont="1" applyFill="1" applyBorder="1" applyAlignment="1">
      <alignment/>
      <protection/>
    </xf>
    <xf numFmtId="37" fontId="89" fillId="0" borderId="0" xfId="0" applyNumberFormat="1" applyFont="1" applyFill="1" applyBorder="1" applyAlignment="1">
      <alignment horizontal="center" wrapText="1"/>
    </xf>
    <xf numFmtId="37" fontId="6" fillId="0" borderId="0" xfId="0" applyNumberFormat="1" applyFont="1" applyFill="1" applyBorder="1" applyAlignment="1">
      <alignment/>
    </xf>
    <xf numFmtId="37" fontId="0" fillId="0" borderId="0" xfId="67" applyNumberFormat="1" applyFill="1">
      <alignment/>
      <protection/>
    </xf>
    <xf numFmtId="37" fontId="12" fillId="0" borderId="0" xfId="67" applyNumberFormat="1" applyFont="1" applyFill="1">
      <alignment/>
      <protection/>
    </xf>
    <xf numFmtId="37" fontId="0" fillId="0" borderId="0" xfId="67" applyNumberFormat="1" applyFill="1" applyBorder="1" applyAlignment="1">
      <alignment horizontal="left"/>
      <protection/>
    </xf>
    <xf numFmtId="37" fontId="0" fillId="0" borderId="0" xfId="67" applyNumberFormat="1" applyFill="1" applyAlignment="1">
      <alignment horizontal="left"/>
      <protection/>
    </xf>
    <xf numFmtId="37" fontId="12" fillId="0" borderId="0" xfId="67" applyNumberFormat="1" applyFont="1" applyFill="1" applyAlignment="1">
      <alignment/>
      <protection/>
    </xf>
    <xf numFmtId="5" fontId="12" fillId="0" borderId="0" xfId="67" applyNumberFormat="1" applyFont="1" applyFill="1" applyBorder="1" applyAlignment="1">
      <alignment/>
      <protection/>
    </xf>
    <xf numFmtId="37" fontId="12" fillId="0" borderId="12" xfId="67" applyNumberFormat="1" applyFont="1" applyFill="1" applyBorder="1" applyAlignment="1">
      <alignment/>
      <protection/>
    </xf>
    <xf numFmtId="37" fontId="24" fillId="0" borderId="0" xfId="67" applyNumberFormat="1" applyFont="1" applyFill="1" applyBorder="1" applyAlignment="1">
      <alignment/>
      <protection/>
    </xf>
    <xf numFmtId="37" fontId="90" fillId="0" borderId="0" xfId="67" applyNumberFormat="1" applyFont="1" applyFill="1" applyBorder="1" applyAlignment="1">
      <alignment/>
      <protection/>
    </xf>
    <xf numFmtId="37" fontId="12" fillId="0" borderId="11" xfId="67" applyNumberFormat="1" applyFont="1" applyFill="1" applyBorder="1" applyAlignment="1">
      <alignment/>
      <protection/>
    </xf>
    <xf numFmtId="37" fontId="90" fillId="0" borderId="0" xfId="67" applyNumberFormat="1" applyFont="1">
      <alignment/>
      <protection/>
    </xf>
    <xf numFmtId="5" fontId="0" fillId="0" borderId="0" xfId="67" applyNumberFormat="1" applyFill="1">
      <alignment/>
      <protection/>
    </xf>
    <xf numFmtId="5" fontId="12" fillId="0" borderId="0" xfId="67" applyNumberFormat="1" applyFont="1" applyFill="1">
      <alignment/>
      <protection/>
    </xf>
    <xf numFmtId="5" fontId="90" fillId="0" borderId="0" xfId="67" applyNumberFormat="1" applyFont="1" applyFill="1" applyBorder="1" applyAlignment="1">
      <alignment/>
      <protection/>
    </xf>
    <xf numFmtId="165" fontId="90" fillId="0" borderId="0" xfId="67" applyNumberFormat="1" applyFont="1">
      <alignment/>
      <protection/>
    </xf>
    <xf numFmtId="5" fontId="12" fillId="0" borderId="0" xfId="67" applyNumberFormat="1" applyFont="1" applyFill="1" applyAlignment="1">
      <alignment/>
      <protection/>
    </xf>
    <xf numFmtId="37" fontId="0" fillId="0" borderId="0" xfId="67" applyNumberFormat="1" applyFill="1" applyAlignment="1">
      <alignment horizontal="center"/>
      <protection/>
    </xf>
    <xf numFmtId="37" fontId="17" fillId="0" borderId="0" xfId="67" applyNumberFormat="1" applyFont="1" applyFill="1" applyBorder="1" applyAlignment="1">
      <alignment horizontal="center" wrapText="1"/>
      <protection/>
    </xf>
    <xf numFmtId="37" fontId="12" fillId="0" borderId="0" xfId="67" applyNumberFormat="1" applyFont="1" applyFill="1" applyBorder="1" applyAlignment="1">
      <alignment horizontal="center"/>
      <protection/>
    </xf>
    <xf numFmtId="37" fontId="12" fillId="0" borderId="0" xfId="67" applyNumberFormat="1" applyFont="1" applyFill="1" applyBorder="1" applyAlignment="1">
      <alignment horizontal="right" indent="1"/>
      <protection/>
    </xf>
    <xf numFmtId="37" fontId="9" fillId="0" borderId="0" xfId="67" applyNumberFormat="1" applyFont="1" applyFill="1" applyAlignment="1">
      <alignment horizontal="center"/>
      <protection/>
    </xf>
    <xf numFmtId="37" fontId="25" fillId="0" borderId="0" xfId="67" applyNumberFormat="1" applyFont="1" applyFill="1" applyBorder="1" applyAlignment="1" quotePrefix="1">
      <alignment horizontal="center" wrapText="1"/>
      <protection/>
    </xf>
    <xf numFmtId="37" fontId="16" fillId="0" borderId="0" xfId="67" applyNumberFormat="1" applyFont="1" applyFill="1" applyBorder="1" applyAlignment="1">
      <alignment horizontal="center" wrapText="1"/>
      <protection/>
    </xf>
    <xf numFmtId="37" fontId="9" fillId="0" borderId="0" xfId="67" applyNumberFormat="1" applyFont="1" applyFill="1" applyBorder="1" applyAlignment="1">
      <alignment horizontal="center"/>
      <protection/>
    </xf>
    <xf numFmtId="37" fontId="9" fillId="0" borderId="0" xfId="67" applyNumberFormat="1" applyFont="1" applyFill="1" applyBorder="1" applyAlignment="1">
      <alignment horizontal="left"/>
      <protection/>
    </xf>
    <xf numFmtId="37" fontId="9" fillId="0" borderId="0" xfId="67" applyNumberFormat="1" applyFont="1" applyFill="1" applyAlignment="1">
      <alignment horizontal="left"/>
      <protection/>
    </xf>
    <xf numFmtId="37" fontId="9" fillId="0" borderId="0" xfId="67" applyNumberFormat="1" applyFont="1" applyFill="1" applyAlignment="1">
      <alignment horizontal="center" wrapText="1"/>
      <protection/>
    </xf>
    <xf numFmtId="37" fontId="28" fillId="0" borderId="0" xfId="67" applyNumberFormat="1" applyFont="1" applyFill="1" applyBorder="1" applyAlignment="1">
      <alignment horizontal="left"/>
      <protection/>
    </xf>
    <xf numFmtId="37" fontId="9" fillId="0" borderId="0" xfId="67" applyNumberFormat="1" applyFont="1" applyFill="1" applyBorder="1" applyAlignment="1">
      <alignment horizontal="left" wrapText="1"/>
      <protection/>
    </xf>
    <xf numFmtId="37" fontId="26" fillId="0" borderId="0" xfId="67" applyNumberFormat="1" applyFont="1" applyFill="1">
      <alignment/>
      <protection/>
    </xf>
    <xf numFmtId="37" fontId="26" fillId="0" borderId="0" xfId="67" applyNumberFormat="1" applyFont="1" applyFill="1" applyAlignment="1">
      <alignment horizontal="left"/>
      <protection/>
    </xf>
    <xf numFmtId="37" fontId="5" fillId="0" borderId="0" xfId="67" applyNumberFormat="1" applyFont="1" applyFill="1" applyAlignment="1">
      <alignment horizontal="center" vertical="center"/>
      <protection/>
    </xf>
    <xf numFmtId="37" fontId="5" fillId="0" borderId="0" xfId="67" applyNumberFormat="1" applyFont="1" applyFill="1" applyBorder="1" applyAlignment="1">
      <alignment horizontal="center" vertical="center"/>
      <protection/>
    </xf>
    <xf numFmtId="37" fontId="5" fillId="0" borderId="0" xfId="67" applyNumberFormat="1" applyFont="1" applyFill="1" applyBorder="1" applyAlignment="1">
      <alignment horizontal="left"/>
      <protection/>
    </xf>
    <xf numFmtId="37" fontId="91" fillId="0" borderId="0" xfId="67" applyNumberFormat="1" applyFont="1" applyFill="1" applyBorder="1">
      <alignment/>
      <protection/>
    </xf>
    <xf numFmtId="37" fontId="29" fillId="0" borderId="0" xfId="67" applyNumberFormat="1" applyFont="1" applyFill="1" applyBorder="1" applyAlignment="1">
      <alignment horizontal="left"/>
      <protection/>
    </xf>
    <xf numFmtId="37" fontId="11" fillId="0" borderId="0" xfId="0" applyNumberFormat="1" applyFont="1" applyFill="1" applyBorder="1" applyAlignment="1">
      <alignment/>
    </xf>
    <xf numFmtId="5" fontId="12" fillId="0" borderId="0" xfId="0" applyNumberFormat="1" applyFont="1" applyFill="1" applyBorder="1" applyAlignment="1">
      <alignment/>
    </xf>
    <xf numFmtId="37" fontId="12" fillId="0" borderId="0" xfId="0" applyNumberFormat="1" applyFont="1" applyFill="1" applyBorder="1" applyAlignment="1">
      <alignment/>
    </xf>
    <xf numFmtId="164" fontId="0" fillId="0" borderId="0" xfId="79" applyNumberFormat="1" applyFont="1" applyFill="1" applyAlignment="1">
      <alignment/>
    </xf>
    <xf numFmtId="37" fontId="12" fillId="0" borderId="0" xfId="67" applyNumberFormat="1" applyFont="1" applyFill="1" applyBorder="1">
      <alignment/>
      <protection/>
    </xf>
    <xf numFmtId="37" fontId="90" fillId="0" borderId="0" xfId="67" applyNumberFormat="1" applyFont="1" applyFill="1" applyBorder="1">
      <alignment/>
      <protection/>
    </xf>
    <xf numFmtId="0" fontId="14" fillId="0" borderId="0" xfId="71" applyFont="1">
      <alignment/>
      <protection/>
    </xf>
    <xf numFmtId="0" fontId="6" fillId="0" borderId="0" xfId="71" applyFont="1">
      <alignment/>
      <protection/>
    </xf>
    <xf numFmtId="0" fontId="6" fillId="0" borderId="0" xfId="71" applyFont="1" applyBorder="1">
      <alignment/>
      <protection/>
    </xf>
    <xf numFmtId="0" fontId="30" fillId="0" borderId="0" xfId="71" applyFont="1">
      <alignment/>
      <protection/>
    </xf>
    <xf numFmtId="37" fontId="5" fillId="0" borderId="0" xfId="71" applyNumberFormat="1" applyFont="1" applyFill="1" applyBorder="1" applyAlignment="1">
      <alignment horizontal="center" vertical="center"/>
      <protection/>
    </xf>
    <xf numFmtId="37" fontId="92" fillId="0" borderId="0" xfId="71" applyNumberFormat="1" applyFont="1" applyFill="1" applyBorder="1" applyAlignment="1">
      <alignment horizontal="center" vertical="center"/>
      <protection/>
    </xf>
    <xf numFmtId="37" fontId="5" fillId="0" borderId="0" xfId="71" applyNumberFormat="1" applyFont="1" applyFill="1" applyBorder="1" applyAlignment="1">
      <alignment horizontal="center" wrapText="1"/>
      <protection/>
    </xf>
    <xf numFmtId="0" fontId="5" fillId="0" borderId="0" xfId="71" applyFont="1" applyBorder="1" applyAlignment="1">
      <alignment horizontal="center" wrapText="1"/>
      <protection/>
    </xf>
    <xf numFmtId="37" fontId="30" fillId="0" borderId="0" xfId="71" applyNumberFormat="1" applyFont="1" applyFill="1" applyBorder="1" applyAlignment="1">
      <alignment horizontal="center" vertical="center" wrapText="1"/>
      <protection/>
    </xf>
    <xf numFmtId="5" fontId="6" fillId="0" borderId="0" xfId="71" applyNumberFormat="1" applyFont="1" applyFill="1" applyBorder="1">
      <alignment/>
      <protection/>
    </xf>
    <xf numFmtId="37" fontId="6" fillId="0" borderId="0" xfId="71" applyNumberFormat="1" applyFont="1" applyFill="1" applyBorder="1">
      <alignment/>
      <protection/>
    </xf>
    <xf numFmtId="166" fontId="6" fillId="0" borderId="0" xfId="47" applyNumberFormat="1" applyFont="1" applyBorder="1" applyAlignment="1">
      <alignment/>
    </xf>
    <xf numFmtId="166" fontId="6" fillId="0" borderId="18" xfId="47" applyNumberFormat="1" applyFont="1" applyBorder="1" applyAlignment="1">
      <alignment/>
    </xf>
    <xf numFmtId="5" fontId="5" fillId="0" borderId="0" xfId="71" applyNumberFormat="1" applyFont="1" applyFill="1" applyBorder="1">
      <alignment/>
      <protection/>
    </xf>
    <xf numFmtId="0" fontId="5" fillId="0" borderId="0" xfId="71" applyFont="1" applyBorder="1">
      <alignment/>
      <protection/>
    </xf>
    <xf numFmtId="37" fontId="93" fillId="0" borderId="0" xfId="0" applyNumberFormat="1" applyFont="1" applyFill="1" applyAlignment="1">
      <alignment/>
    </xf>
    <xf numFmtId="37" fontId="93" fillId="0" borderId="0" xfId="67" applyNumberFormat="1" applyFont="1" applyFill="1" applyAlignment="1">
      <alignment horizontal="left"/>
      <protection/>
    </xf>
    <xf numFmtId="37" fontId="94" fillId="0" borderId="0" xfId="0" applyNumberFormat="1" applyFont="1" applyFill="1" applyBorder="1" applyAlignment="1">
      <alignment wrapText="1"/>
    </xf>
    <xf numFmtId="37" fontId="95" fillId="0" borderId="14" xfId="0" applyNumberFormat="1" applyFont="1" applyFill="1" applyBorder="1" applyAlignment="1">
      <alignment horizontal="center" wrapText="1"/>
    </xf>
    <xf numFmtId="5" fontId="12" fillId="0" borderId="17" xfId="0" applyNumberFormat="1" applyFont="1" applyFill="1" applyBorder="1" applyAlignment="1">
      <alignment horizontal="right" indent="1"/>
    </xf>
    <xf numFmtId="37" fontId="90" fillId="0" borderId="0" xfId="0" applyNumberFormat="1" applyFont="1" applyFill="1" applyBorder="1" applyAlignment="1">
      <alignment/>
    </xf>
    <xf numFmtId="37" fontId="20" fillId="0" borderId="0" xfId="0" applyNumberFormat="1" applyFont="1" applyFill="1" applyAlignment="1" quotePrefix="1">
      <alignment horizontal="right"/>
    </xf>
    <xf numFmtId="37" fontId="12" fillId="0" borderId="0" xfId="67" applyNumberFormat="1" applyFont="1" applyFill="1" applyAlignment="1">
      <alignment horizontal="left" wrapText="1"/>
      <protection/>
    </xf>
    <xf numFmtId="37" fontId="27" fillId="0" borderId="0" xfId="67" applyNumberFormat="1" applyFont="1" applyFill="1" applyBorder="1" applyAlignment="1">
      <alignment horizontal="center"/>
      <protection/>
    </xf>
    <xf numFmtId="37" fontId="11" fillId="33" borderId="0" xfId="0" applyNumberFormat="1" applyFont="1" applyFill="1" applyAlignment="1">
      <alignment horizontal="center"/>
    </xf>
    <xf numFmtId="37" fontId="11" fillId="33" borderId="0" xfId="0" applyNumberFormat="1" applyFont="1" applyFill="1" applyBorder="1" applyAlignment="1">
      <alignment horizontal="center"/>
    </xf>
    <xf numFmtId="37" fontId="6" fillId="33" borderId="0" xfId="0" applyNumberFormat="1" applyFont="1" applyFill="1" applyAlignment="1">
      <alignment horizontal="center"/>
    </xf>
    <xf numFmtId="37" fontId="0" fillId="33" borderId="0" xfId="0" applyNumberFormat="1" applyFont="1" applyFill="1" applyBorder="1" applyAlignment="1">
      <alignment horizontal="center" wrapText="1"/>
    </xf>
    <xf numFmtId="37" fontId="13" fillId="33" borderId="0" xfId="0" applyNumberFormat="1" applyFont="1" applyFill="1" applyBorder="1" applyAlignment="1">
      <alignment horizontal="center" wrapText="1"/>
    </xf>
    <xf numFmtId="5" fontId="12" fillId="33" borderId="0" xfId="0" applyNumberFormat="1" applyFont="1" applyFill="1" applyBorder="1" applyAlignment="1">
      <alignment/>
    </xf>
    <xf numFmtId="37" fontId="12" fillId="33" borderId="0" xfId="0" applyNumberFormat="1" applyFont="1" applyFill="1" applyBorder="1" applyAlignment="1">
      <alignment/>
    </xf>
    <xf numFmtId="5" fontId="12" fillId="33" borderId="11" xfId="0" applyNumberFormat="1" applyFont="1" applyFill="1" applyBorder="1" applyAlignment="1">
      <alignment/>
    </xf>
    <xf numFmtId="5" fontId="12" fillId="33" borderId="12" xfId="0" applyNumberFormat="1" applyFont="1" applyFill="1" applyBorder="1" applyAlignment="1">
      <alignment/>
    </xf>
    <xf numFmtId="0" fontId="96" fillId="0" borderId="0" xfId="71" applyFont="1">
      <alignment/>
      <protection/>
    </xf>
    <xf numFmtId="43" fontId="6" fillId="0" borderId="0" xfId="42" applyFont="1" applyAlignment="1">
      <alignment/>
    </xf>
    <xf numFmtId="166" fontId="6" fillId="0" borderId="0" xfId="42" applyNumberFormat="1" applyFont="1" applyAlignment="1">
      <alignment/>
    </xf>
    <xf numFmtId="37" fontId="16" fillId="0" borderId="0" xfId="67" applyNumberFormat="1" applyFont="1" applyFill="1" applyBorder="1" applyAlignment="1">
      <alignment horizontal="center" wrapText="1"/>
      <protection/>
    </xf>
    <xf numFmtId="37" fontId="27" fillId="0" borderId="18" xfId="67" applyNumberFormat="1" applyFont="1" applyFill="1" applyBorder="1" applyAlignment="1">
      <alignment horizontal="center"/>
      <protection/>
    </xf>
    <xf numFmtId="37" fontId="12" fillId="0" borderId="0" xfId="67" applyNumberFormat="1" applyFont="1" applyFill="1" applyAlignment="1">
      <alignment horizontal="left" wrapText="1"/>
      <protection/>
    </xf>
    <xf numFmtId="37" fontId="27" fillId="0" borderId="0" xfId="67" applyNumberFormat="1" applyFont="1" applyFill="1" applyBorder="1" applyAlignment="1">
      <alignment horizontal="center" wrapText="1"/>
      <protection/>
    </xf>
    <xf numFmtId="37" fontId="97" fillId="0" borderId="0" xfId="0" applyNumberFormat="1" applyFont="1" applyFill="1" applyAlignment="1">
      <alignment/>
    </xf>
    <xf numFmtId="37" fontId="27" fillId="0" borderId="0" xfId="67" applyNumberFormat="1" applyFont="1" applyFill="1">
      <alignment/>
      <protection/>
    </xf>
    <xf numFmtId="37" fontId="23" fillId="0" borderId="0" xfId="67" applyNumberFormat="1" applyFont="1" applyFill="1" applyBorder="1" applyAlignment="1">
      <alignment horizontal="center" wrapText="1"/>
      <protection/>
    </xf>
    <xf numFmtId="37" fontId="12" fillId="0" borderId="0" xfId="67" applyNumberFormat="1" applyFont="1" applyFill="1" applyBorder="1" applyAlignment="1">
      <alignment horizontal="center" wrapText="1"/>
      <protection/>
    </xf>
    <xf numFmtId="37" fontId="12" fillId="0" borderId="11" xfId="67" applyNumberFormat="1" applyFont="1" applyFill="1" applyBorder="1">
      <alignment/>
      <protection/>
    </xf>
    <xf numFmtId="37" fontId="12" fillId="0" borderId="12" xfId="67" applyNumberFormat="1" applyFont="1" applyFill="1" applyBorder="1">
      <alignment/>
      <protection/>
    </xf>
    <xf numFmtId="37" fontId="12" fillId="0" borderId="0" xfId="67" applyNumberFormat="1" applyFont="1" applyFill="1" applyAlignment="1">
      <alignment horizontal="left" wrapText="1"/>
      <protection/>
    </xf>
    <xf numFmtId="37" fontId="12" fillId="0" borderId="0" xfId="67" applyNumberFormat="1" applyFont="1" applyFill="1" applyAlignment="1">
      <alignment horizontal="left" vertical="top"/>
      <protection/>
    </xf>
    <xf numFmtId="37" fontId="74" fillId="0" borderId="0" xfId="67" applyNumberFormat="1" applyFont="1" applyFill="1" applyBorder="1" applyAlignment="1">
      <alignment horizontal="left"/>
      <protection/>
    </xf>
    <xf numFmtId="37" fontId="98" fillId="0" borderId="0" xfId="67" applyNumberFormat="1" applyFont="1" applyFill="1" applyBorder="1" applyAlignment="1">
      <alignment horizontal="left" vertical="top"/>
      <protection/>
    </xf>
    <xf numFmtId="37" fontId="87" fillId="0" borderId="0" xfId="67" applyNumberFormat="1" applyFont="1" applyFill="1">
      <alignment/>
      <protection/>
    </xf>
    <xf numFmtId="37" fontId="90" fillId="0" borderId="0" xfId="67" applyNumberFormat="1" applyFont="1" applyFill="1">
      <alignment/>
      <protection/>
    </xf>
    <xf numFmtId="37" fontId="90" fillId="0" borderId="0" xfId="0" applyNumberFormat="1" applyFont="1" applyFill="1" applyAlignment="1">
      <alignment horizontal="left" vertical="top" wrapText="1"/>
    </xf>
    <xf numFmtId="37" fontId="99" fillId="0" borderId="0" xfId="67" applyNumberFormat="1" applyFont="1" applyFill="1" quotePrefix="1">
      <alignment/>
      <protection/>
    </xf>
    <xf numFmtId="37" fontId="0" fillId="0" borderId="10" xfId="0" applyNumberFormat="1" applyFont="1" applyFill="1" applyBorder="1" applyAlignment="1">
      <alignment vertical="center"/>
    </xf>
    <xf numFmtId="37" fontId="16" fillId="0" borderId="0" xfId="67" applyNumberFormat="1" applyFont="1" applyFill="1" applyBorder="1" applyAlignment="1">
      <alignment horizontal="center" wrapText="1"/>
      <protection/>
    </xf>
    <xf numFmtId="37" fontId="87" fillId="0" borderId="0" xfId="0" applyNumberFormat="1" applyFont="1" applyFill="1" applyAlignment="1">
      <alignment/>
    </xf>
    <xf numFmtId="37" fontId="16" fillId="0" borderId="0" xfId="67" applyNumberFormat="1" applyFont="1" applyFill="1" applyBorder="1" applyAlignment="1">
      <alignment horizontal="center" wrapText="1"/>
      <protection/>
    </xf>
    <xf numFmtId="37" fontId="23" fillId="0" borderId="0" xfId="67" applyNumberFormat="1" applyFont="1" applyFill="1" applyBorder="1" applyAlignment="1">
      <alignment horizontal="center" wrapText="1"/>
      <protection/>
    </xf>
    <xf numFmtId="37" fontId="27" fillId="0" borderId="0" xfId="67" applyNumberFormat="1" applyFont="1" applyFill="1" applyAlignment="1">
      <alignment horizontal="center" wrapText="1"/>
      <protection/>
    </xf>
    <xf numFmtId="37" fontId="12" fillId="0" borderId="0" xfId="67" applyNumberFormat="1" applyFont="1" applyFill="1" applyBorder="1" applyAlignment="1">
      <alignment horizontal="left" wrapText="1"/>
      <protection/>
    </xf>
    <xf numFmtId="167" fontId="5" fillId="0" borderId="0" xfId="71" applyNumberFormat="1" applyFont="1" applyBorder="1" applyAlignment="1">
      <alignment horizontal="right" wrapText="1"/>
      <protection/>
    </xf>
    <xf numFmtId="37" fontId="5" fillId="0" borderId="0" xfId="68" applyNumberFormat="1" applyFont="1" applyFill="1" applyBorder="1" applyAlignment="1">
      <alignment horizontal="center" vertical="center"/>
      <protection/>
    </xf>
    <xf numFmtId="37" fontId="0" fillId="0" borderId="10" xfId="0" applyNumberFormat="1" applyFont="1" applyFill="1" applyBorder="1" applyAlignment="1">
      <alignment horizontal="center" wrapText="1"/>
    </xf>
    <xf numFmtId="165" fontId="90" fillId="34" borderId="19" xfId="74" applyNumberFormat="1" applyFont="1" applyFill="1" applyBorder="1">
      <alignment/>
      <protection/>
    </xf>
    <xf numFmtId="37" fontId="90" fillId="34" borderId="19" xfId="74" applyNumberFormat="1" applyFont="1" applyFill="1" applyBorder="1">
      <alignment/>
      <protection/>
    </xf>
    <xf numFmtId="0" fontId="87" fillId="0" borderId="0" xfId="68" applyFont="1" applyFill="1" applyBorder="1" applyAlignment="1">
      <alignment vertical="top" wrapText="1"/>
      <protection/>
    </xf>
    <xf numFmtId="0" fontId="93" fillId="0" borderId="0" xfId="68" applyFont="1" applyFill="1" applyBorder="1" applyAlignment="1">
      <alignment/>
      <protection/>
    </xf>
    <xf numFmtId="0" fontId="87" fillId="0" borderId="0" xfId="68" applyFont="1" applyFill="1" applyBorder="1">
      <alignment/>
      <protection/>
    </xf>
    <xf numFmtId="0" fontId="87" fillId="0" borderId="0" xfId="68" applyFont="1" applyFill="1" applyBorder="1" applyAlignment="1">
      <alignment horizontal="center"/>
      <protection/>
    </xf>
    <xf numFmtId="37" fontId="100" fillId="0" borderId="0" xfId="68" applyNumberFormat="1" applyFont="1" applyFill="1" applyBorder="1" applyAlignment="1">
      <alignment horizontal="center"/>
      <protection/>
    </xf>
    <xf numFmtId="0" fontId="87" fillId="0" borderId="20" xfId="68" applyFont="1" applyFill="1" applyBorder="1">
      <alignment/>
      <protection/>
    </xf>
    <xf numFmtId="0" fontId="87" fillId="0" borderId="21" xfId="68" applyFont="1" applyFill="1" applyBorder="1">
      <alignment/>
      <protection/>
    </xf>
    <xf numFmtId="0" fontId="87" fillId="0" borderId="21" xfId="68" applyFont="1" applyFill="1" applyBorder="1" applyAlignment="1" quotePrefix="1">
      <alignment horizontal="centerContinuous"/>
      <protection/>
    </xf>
    <xf numFmtId="0" fontId="87" fillId="0" borderId="22" xfId="68" applyFont="1" applyFill="1" applyBorder="1" applyAlignment="1">
      <alignment horizontal="center" wrapText="1"/>
      <protection/>
    </xf>
    <xf numFmtId="0" fontId="90" fillId="0" borderId="10" xfId="68" applyFont="1" applyFill="1" applyBorder="1" applyAlignment="1">
      <alignment/>
      <protection/>
    </xf>
    <xf numFmtId="0" fontId="90" fillId="0" borderId="10" xfId="68" applyFont="1" applyFill="1" applyBorder="1" applyAlignment="1" quotePrefix="1">
      <alignment horizontal="centerContinuous" wrapText="1"/>
      <protection/>
    </xf>
    <xf numFmtId="0" fontId="90" fillId="0" borderId="23" xfId="68" applyFont="1" applyFill="1" applyBorder="1" applyAlignment="1" quotePrefix="1">
      <alignment horizontal="centerContinuous" wrapText="1"/>
      <protection/>
    </xf>
    <xf numFmtId="0" fontId="90" fillId="0" borderId="24" xfId="68" applyFont="1" applyFill="1" applyBorder="1" applyAlignment="1">
      <alignment horizontal="centerContinuous" wrapText="1"/>
      <protection/>
    </xf>
    <xf numFmtId="0" fontId="90" fillId="0" borderId="25" xfId="68" applyFont="1" applyFill="1" applyBorder="1" applyAlignment="1">
      <alignment horizontal="centerContinuous"/>
      <protection/>
    </xf>
    <xf numFmtId="0" fontId="87" fillId="0" borderId="0" xfId="68" applyFont="1" applyFill="1" applyBorder="1" applyAlignment="1">
      <alignment/>
      <protection/>
    </xf>
    <xf numFmtId="0" fontId="90" fillId="0" borderId="0" xfId="68" applyFont="1" applyFill="1" applyBorder="1" applyAlignment="1">
      <alignment horizontal="center" wrapText="1"/>
      <protection/>
    </xf>
    <xf numFmtId="0" fontId="90" fillId="0" borderId="0" xfId="68" applyFont="1" applyFill="1" applyBorder="1" applyAlignment="1">
      <alignment/>
      <protection/>
    </xf>
    <xf numFmtId="0" fontId="87" fillId="0" borderId="19" xfId="68" applyFont="1" applyFill="1" applyBorder="1" applyAlignment="1">
      <alignment horizontal="center"/>
      <protection/>
    </xf>
    <xf numFmtId="0" fontId="90" fillId="0" borderId="0" xfId="68" applyFont="1" applyFill="1" applyBorder="1">
      <alignment/>
      <protection/>
    </xf>
    <xf numFmtId="0" fontId="90" fillId="0" borderId="0" xfId="68" applyFont="1" applyFill="1" applyBorder="1" applyAlignment="1">
      <alignment horizontal="center"/>
      <protection/>
    </xf>
    <xf numFmtId="0" fontId="90" fillId="0" borderId="19" xfId="68" applyFont="1" applyFill="1" applyBorder="1" applyAlignment="1">
      <alignment horizontal="center"/>
      <protection/>
    </xf>
    <xf numFmtId="0" fontId="90" fillId="0" borderId="26" xfId="68" applyFont="1" applyFill="1" applyBorder="1" applyAlignment="1">
      <alignment horizontal="center"/>
      <protection/>
    </xf>
    <xf numFmtId="0" fontId="101" fillId="0" borderId="0" xfId="68" applyFont="1" applyFill="1" applyBorder="1" applyAlignment="1">
      <alignment horizontal="center"/>
      <protection/>
    </xf>
    <xf numFmtId="0" fontId="87" fillId="0" borderId="26" xfId="68" applyFont="1" applyFill="1" applyBorder="1">
      <alignment/>
      <protection/>
    </xf>
    <xf numFmtId="0" fontId="90" fillId="0" borderId="19" xfId="68" applyFont="1" applyFill="1" applyBorder="1">
      <alignment/>
      <protection/>
    </xf>
    <xf numFmtId="0" fontId="90" fillId="0" borderId="19" xfId="68" applyFont="1" applyFill="1" applyBorder="1" applyAlignment="1" quotePrefix="1">
      <alignment horizontal="center"/>
      <protection/>
    </xf>
    <xf numFmtId="165" fontId="90" fillId="0" borderId="19" xfId="68" applyNumberFormat="1" applyFont="1" applyFill="1" applyBorder="1">
      <alignment/>
      <protection/>
    </xf>
    <xf numFmtId="168" fontId="90" fillId="0" borderId="0" xfId="68" applyNumberFormat="1" applyFont="1" applyFill="1" applyBorder="1" applyAlignment="1">
      <alignment horizontal="center"/>
      <protection/>
    </xf>
    <xf numFmtId="168" fontId="90" fillId="0" borderId="26" xfId="68" applyNumberFormat="1" applyFont="1" applyFill="1" applyBorder="1" applyAlignment="1">
      <alignment horizontal="center"/>
      <protection/>
    </xf>
    <xf numFmtId="169" fontId="90" fillId="0" borderId="26" xfId="68" applyNumberFormat="1" applyFont="1" applyFill="1" applyBorder="1" applyAlignment="1">
      <alignment horizontal="center"/>
      <protection/>
    </xf>
    <xf numFmtId="5" fontId="90" fillId="0" borderId="19" xfId="68" applyNumberFormat="1" applyFont="1" applyFill="1" applyBorder="1">
      <alignment/>
      <protection/>
    </xf>
    <xf numFmtId="169" fontId="90" fillId="0" borderId="0" xfId="68" applyNumberFormat="1" applyFont="1" applyFill="1" applyBorder="1" applyAlignment="1">
      <alignment horizontal="center"/>
      <protection/>
    </xf>
    <xf numFmtId="169" fontId="90" fillId="0" borderId="19" xfId="68" applyNumberFormat="1" applyFont="1" applyFill="1" applyBorder="1" applyAlignment="1">
      <alignment horizontal="center"/>
      <protection/>
    </xf>
    <xf numFmtId="5" fontId="100" fillId="0" borderId="0" xfId="68" applyNumberFormat="1" applyFont="1" applyFill="1" applyBorder="1">
      <alignment/>
      <protection/>
    </xf>
    <xf numFmtId="37" fontId="90" fillId="0" borderId="0" xfId="68" applyNumberFormat="1" applyFont="1" applyFill="1" applyBorder="1">
      <alignment/>
      <protection/>
    </xf>
    <xf numFmtId="10" fontId="90" fillId="0" borderId="0" xfId="68" applyNumberFormat="1" applyFont="1" applyFill="1" applyBorder="1">
      <alignment/>
      <protection/>
    </xf>
    <xf numFmtId="5" fontId="90" fillId="0" borderId="0" xfId="68" applyNumberFormat="1" applyFont="1" applyFill="1" applyBorder="1">
      <alignment/>
      <protection/>
    </xf>
    <xf numFmtId="37" fontId="90" fillId="0" borderId="19" xfId="68" applyNumberFormat="1" applyFont="1" applyFill="1" applyBorder="1">
      <alignment/>
      <protection/>
    </xf>
    <xf numFmtId="37" fontId="100" fillId="0" borderId="0" xfId="68" applyNumberFormat="1" applyFont="1" applyFill="1" applyBorder="1">
      <alignment/>
      <protection/>
    </xf>
    <xf numFmtId="165" fontId="90" fillId="34" borderId="19" xfId="68" applyNumberFormat="1" applyFont="1" applyFill="1" applyBorder="1">
      <alignment/>
      <protection/>
    </xf>
    <xf numFmtId="3" fontId="90" fillId="0" borderId="0" xfId="68" applyNumberFormat="1" applyFont="1" applyFill="1" applyBorder="1">
      <alignment/>
      <protection/>
    </xf>
    <xf numFmtId="170" fontId="90" fillId="0" borderId="0" xfId="68" applyNumberFormat="1" applyFont="1" applyFill="1" applyBorder="1">
      <alignment/>
      <protection/>
    </xf>
    <xf numFmtId="3" fontId="90" fillId="0" borderId="26" xfId="68" applyNumberFormat="1" applyFont="1" applyFill="1" applyBorder="1" applyAlignment="1">
      <alignment horizontal="center"/>
      <protection/>
    </xf>
    <xf numFmtId="3" fontId="90" fillId="0" borderId="19" xfId="68" applyNumberFormat="1" applyFont="1" applyFill="1" applyBorder="1">
      <alignment/>
      <protection/>
    </xf>
    <xf numFmtId="3" fontId="90" fillId="0" borderId="0" xfId="68" applyNumberFormat="1" applyFont="1" applyFill="1" applyBorder="1" applyAlignment="1">
      <alignment horizontal="center"/>
      <protection/>
    </xf>
    <xf numFmtId="3" fontId="90" fillId="0" borderId="19" xfId="68" applyNumberFormat="1" applyFont="1" applyFill="1" applyBorder="1" applyAlignment="1">
      <alignment horizontal="center"/>
      <protection/>
    </xf>
    <xf numFmtId="0" fontId="90" fillId="0" borderId="27" xfId="68" applyFont="1" applyFill="1" applyBorder="1" applyAlignment="1">
      <alignment horizontal="center"/>
      <protection/>
    </xf>
    <xf numFmtId="0" fontId="90" fillId="0" borderId="18" xfId="68" applyFont="1" applyFill="1" applyBorder="1">
      <alignment/>
      <protection/>
    </xf>
    <xf numFmtId="10" fontId="90" fillId="0" borderId="18" xfId="68" applyNumberFormat="1" applyFont="1" applyFill="1" applyBorder="1" applyAlignment="1">
      <alignment horizontal="center"/>
      <protection/>
    </xf>
    <xf numFmtId="165" fontId="90" fillId="0" borderId="27" xfId="68" applyNumberFormat="1" applyFont="1" applyFill="1" applyBorder="1">
      <alignment/>
      <protection/>
    </xf>
    <xf numFmtId="10" fontId="90" fillId="0" borderId="28" xfId="68" applyNumberFormat="1" applyFont="1" applyFill="1" applyBorder="1" applyAlignment="1">
      <alignment horizontal="center"/>
      <protection/>
    </xf>
    <xf numFmtId="10" fontId="90" fillId="0" borderId="27" xfId="68" applyNumberFormat="1" applyFont="1" applyFill="1" applyBorder="1" applyAlignment="1">
      <alignment horizontal="center"/>
      <protection/>
    </xf>
    <xf numFmtId="5" fontId="100" fillId="0" borderId="18" xfId="55" applyNumberFormat="1" applyFont="1" applyFill="1" applyBorder="1" applyAlignment="1">
      <alignment/>
    </xf>
    <xf numFmtId="0" fontId="87" fillId="0" borderId="28" xfId="68" applyFont="1" applyFill="1" applyBorder="1">
      <alignment/>
      <protection/>
    </xf>
    <xf numFmtId="5" fontId="90" fillId="0" borderId="0" xfId="55" applyNumberFormat="1" applyFont="1" applyFill="1" applyBorder="1" applyAlignment="1">
      <alignment/>
    </xf>
    <xf numFmtId="5" fontId="87" fillId="0" borderId="0" xfId="68" applyNumberFormat="1" applyFont="1" applyFill="1" applyBorder="1">
      <alignment/>
      <protection/>
    </xf>
    <xf numFmtId="3" fontId="87" fillId="0" borderId="0" xfId="68" applyNumberFormat="1" applyFont="1" applyFill="1" applyBorder="1">
      <alignment/>
      <protection/>
    </xf>
    <xf numFmtId="3" fontId="87" fillId="0" borderId="0" xfId="68" applyNumberFormat="1" applyFont="1" applyFill="1" applyBorder="1" applyAlignment="1">
      <alignment horizontal="center"/>
      <protection/>
    </xf>
    <xf numFmtId="0" fontId="102" fillId="0" borderId="0" xfId="68" applyFont="1" applyFill="1" applyBorder="1" applyAlignment="1">
      <alignment vertical="top"/>
      <protection/>
    </xf>
    <xf numFmtId="165" fontId="87" fillId="0" borderId="0" xfId="68" applyNumberFormat="1" applyFont="1" applyFill="1" applyBorder="1">
      <alignment/>
      <protection/>
    </xf>
    <xf numFmtId="0" fontId="90" fillId="0" borderId="29" xfId="68" applyFont="1" applyFill="1" applyBorder="1" applyAlignment="1">
      <alignment horizontal="center"/>
      <protection/>
    </xf>
    <xf numFmtId="37" fontId="18" fillId="0" borderId="0" xfId="68" applyNumberFormat="1" applyFont="1" applyFill="1" applyBorder="1" applyAlignment="1">
      <alignment horizontal="center"/>
      <protection/>
    </xf>
    <xf numFmtId="37" fontId="18" fillId="0" borderId="0" xfId="68" applyNumberFormat="1" applyFont="1" applyFill="1" applyBorder="1" applyAlignment="1" quotePrefix="1">
      <alignment horizontal="center"/>
      <protection/>
    </xf>
    <xf numFmtId="37" fontId="3" fillId="0" borderId="21" xfId="0" applyNumberFormat="1" applyFont="1" applyFill="1" applyBorder="1" applyAlignment="1">
      <alignment/>
    </xf>
    <xf numFmtId="37" fontId="3" fillId="0" borderId="11" xfId="0" applyNumberFormat="1" applyFont="1" applyFill="1" applyBorder="1" applyAlignment="1">
      <alignment/>
    </xf>
    <xf numFmtId="37" fontId="0" fillId="0" borderId="0" xfId="0" applyNumberFormat="1" applyFont="1" applyFill="1" applyBorder="1" applyAlignment="1">
      <alignment horizontal="center" wrapText="1"/>
    </xf>
    <xf numFmtId="37" fontId="27" fillId="0" borderId="0" xfId="67" applyNumberFormat="1" applyFont="1" applyFill="1" applyBorder="1" applyAlignment="1">
      <alignment horizontal="center" wrapText="1"/>
      <protection/>
    </xf>
    <xf numFmtId="0" fontId="90" fillId="0" borderId="0" xfId="68" applyFont="1" applyFill="1" applyBorder="1" applyAlignment="1">
      <alignment horizontal="center" wrapText="1"/>
      <protection/>
    </xf>
    <xf numFmtId="0" fontId="90" fillId="0" borderId="0" xfId="73" applyFont="1">
      <alignment/>
      <protection/>
    </xf>
    <xf numFmtId="0" fontId="90" fillId="0" borderId="0" xfId="73" applyFont="1" applyAlignment="1">
      <alignment vertical="center"/>
      <protection/>
    </xf>
    <xf numFmtId="5" fontId="90" fillId="0" borderId="0" xfId="73" applyNumberFormat="1" applyFont="1" applyAlignment="1">
      <alignment vertical="center"/>
      <protection/>
    </xf>
    <xf numFmtId="7" fontId="90" fillId="0" borderId="0" xfId="73" applyNumberFormat="1" applyFont="1" applyAlignment="1">
      <alignment vertical="center"/>
      <protection/>
    </xf>
    <xf numFmtId="0" fontId="23" fillId="0" borderId="0" xfId="73" applyFont="1">
      <alignment/>
      <protection/>
    </xf>
    <xf numFmtId="5" fontId="11" fillId="0" borderId="12" xfId="73" applyNumberFormat="1" applyFont="1" applyBorder="1">
      <alignment/>
      <protection/>
    </xf>
    <xf numFmtId="166" fontId="11" fillId="0" borderId="30" xfId="51" applyNumberFormat="1" applyFont="1" applyFill="1" applyBorder="1" applyAlignment="1">
      <alignment/>
    </xf>
    <xf numFmtId="166" fontId="11" fillId="0" borderId="12" xfId="51" applyNumberFormat="1" applyFont="1" applyFill="1" applyBorder="1" applyAlignment="1">
      <alignment/>
    </xf>
    <xf numFmtId="5" fontId="11" fillId="0" borderId="31" xfId="73" applyNumberFormat="1" applyFont="1" applyBorder="1">
      <alignment/>
      <protection/>
    </xf>
    <xf numFmtId="37" fontId="12" fillId="0" borderId="0" xfId="73" applyNumberFormat="1" applyFont="1" applyBorder="1">
      <alignment/>
      <protection/>
    </xf>
    <xf numFmtId="37" fontId="12" fillId="0" borderId="32" xfId="73" applyNumberFormat="1" applyFont="1" applyBorder="1">
      <alignment/>
      <protection/>
    </xf>
    <xf numFmtId="37" fontId="12" fillId="0" borderId="32" xfId="73" applyNumberFormat="1" applyFont="1" applyFill="1" applyBorder="1">
      <alignment/>
      <protection/>
    </xf>
    <xf numFmtId="37" fontId="12" fillId="0" borderId="33" xfId="73" applyNumberFormat="1" applyFont="1" applyBorder="1">
      <alignment/>
      <protection/>
    </xf>
    <xf numFmtId="37" fontId="12" fillId="0" borderId="32" xfId="51" applyNumberFormat="1" applyFont="1" applyFill="1" applyBorder="1" applyAlignment="1">
      <alignment/>
    </xf>
    <xf numFmtId="0" fontId="90" fillId="0" borderId="32" xfId="73" applyFont="1" applyBorder="1">
      <alignment/>
      <protection/>
    </xf>
    <xf numFmtId="0" fontId="90" fillId="0" borderId="33" xfId="73" applyFont="1" applyBorder="1">
      <alignment/>
      <protection/>
    </xf>
    <xf numFmtId="37" fontId="12" fillId="0" borderId="0" xfId="51" applyNumberFormat="1" applyFont="1" applyFill="1" applyBorder="1" applyAlignment="1">
      <alignment/>
    </xf>
    <xf numFmtId="5" fontId="12" fillId="0" borderId="33" xfId="73" applyNumberFormat="1" applyFont="1" applyBorder="1">
      <alignment/>
      <protection/>
    </xf>
    <xf numFmtId="5" fontId="12" fillId="0" borderId="0" xfId="73" applyNumberFormat="1" applyFont="1" applyBorder="1">
      <alignment/>
      <protection/>
    </xf>
    <xf numFmtId="166" fontId="12" fillId="0" borderId="32" xfId="51" applyNumberFormat="1" applyFont="1" applyFill="1" applyBorder="1" applyAlignment="1">
      <alignment/>
    </xf>
    <xf numFmtId="166" fontId="12" fillId="0" borderId="0" xfId="51" applyNumberFormat="1" applyFont="1" applyFill="1" applyBorder="1" applyAlignment="1">
      <alignment/>
    </xf>
    <xf numFmtId="5" fontId="11" fillId="0" borderId="0" xfId="73" applyNumberFormat="1" applyFont="1" applyBorder="1">
      <alignment/>
      <protection/>
    </xf>
    <xf numFmtId="5" fontId="11" fillId="0" borderId="33" xfId="73" applyNumberFormat="1" applyFont="1" applyBorder="1">
      <alignment/>
      <protection/>
    </xf>
    <xf numFmtId="5" fontId="12" fillId="0" borderId="11" xfId="73" applyNumberFormat="1" applyFont="1" applyBorder="1">
      <alignment/>
      <protection/>
    </xf>
    <xf numFmtId="166" fontId="12" fillId="0" borderId="34" xfId="51" applyNumberFormat="1" applyFont="1" applyFill="1" applyBorder="1" applyAlignment="1">
      <alignment/>
    </xf>
    <xf numFmtId="166" fontId="12" fillId="0" borderId="11" xfId="51" applyNumberFormat="1" applyFont="1" applyFill="1" applyBorder="1" applyAlignment="1">
      <alignment/>
    </xf>
    <xf numFmtId="5" fontId="11" fillId="0" borderId="35" xfId="73" applyNumberFormat="1" applyFont="1" applyBorder="1">
      <alignment/>
      <protection/>
    </xf>
    <xf numFmtId="166" fontId="12" fillId="0" borderId="32" xfId="51" applyNumberFormat="1" applyFont="1" applyBorder="1" applyAlignment="1">
      <alignment/>
    </xf>
    <xf numFmtId="0" fontId="90" fillId="0" borderId="0" xfId="73" applyFont="1" applyAlignment="1">
      <alignment horizontal="center" wrapText="1"/>
      <protection/>
    </xf>
    <xf numFmtId="0" fontId="90" fillId="0" borderId="0" xfId="73" applyFont="1" applyBorder="1" applyAlignment="1">
      <alignment horizontal="center" wrapText="1"/>
      <protection/>
    </xf>
    <xf numFmtId="0" fontId="90" fillId="0" borderId="32" xfId="73" applyFont="1" applyBorder="1" applyAlignment="1">
      <alignment horizontal="center" wrapText="1"/>
      <protection/>
    </xf>
    <xf numFmtId="0" fontId="90" fillId="0" borderId="33" xfId="73" applyFont="1" applyBorder="1" applyAlignment="1">
      <alignment horizontal="center" wrapText="1"/>
      <protection/>
    </xf>
    <xf numFmtId="166" fontId="90" fillId="0" borderId="32" xfId="73" applyNumberFormat="1" applyFont="1" applyBorder="1" applyAlignment="1">
      <alignment horizontal="center" wrapText="1"/>
      <protection/>
    </xf>
    <xf numFmtId="0" fontId="90" fillId="0" borderId="10" xfId="73" applyFont="1" applyBorder="1" applyAlignment="1">
      <alignment horizontal="center" wrapText="1"/>
      <protection/>
    </xf>
    <xf numFmtId="0" fontId="103" fillId="0" borderId="10" xfId="73" applyFont="1" applyBorder="1" applyAlignment="1">
      <alignment horizontal="center" wrapText="1"/>
      <protection/>
    </xf>
    <xf numFmtId="0" fontId="90" fillId="0" borderId="36" xfId="73" applyFont="1" applyBorder="1" applyAlignment="1">
      <alignment horizontal="center" wrapText="1"/>
      <protection/>
    </xf>
    <xf numFmtId="0" fontId="90" fillId="0" borderId="37" xfId="73" applyFont="1" applyBorder="1" applyAlignment="1">
      <alignment horizontal="center" wrapText="1"/>
      <protection/>
    </xf>
    <xf numFmtId="0" fontId="90" fillId="0" borderId="10" xfId="73" applyFont="1" applyBorder="1">
      <alignment/>
      <protection/>
    </xf>
    <xf numFmtId="0" fontId="104" fillId="0" borderId="0" xfId="73" applyFont="1" applyBorder="1">
      <alignment/>
      <protection/>
    </xf>
    <xf numFmtId="0" fontId="100" fillId="0" borderId="0" xfId="73" applyFont="1" applyBorder="1">
      <alignment/>
      <protection/>
    </xf>
    <xf numFmtId="0" fontId="105" fillId="0" borderId="0" xfId="73" applyFont="1" applyFill="1" applyBorder="1">
      <alignment/>
      <protection/>
    </xf>
    <xf numFmtId="0" fontId="106" fillId="0" borderId="0" xfId="71" applyFont="1" applyFill="1">
      <alignment/>
      <protection/>
    </xf>
    <xf numFmtId="0" fontId="90" fillId="0" borderId="0" xfId="73" applyFont="1" applyBorder="1">
      <alignment/>
      <protection/>
    </xf>
    <xf numFmtId="0" fontId="93" fillId="0" borderId="0" xfId="73" applyFont="1" applyBorder="1">
      <alignment/>
      <protection/>
    </xf>
    <xf numFmtId="0" fontId="90" fillId="0" borderId="0" xfId="68" applyFont="1" applyFill="1" applyBorder="1" applyAlignment="1">
      <alignment wrapText="1"/>
      <protection/>
    </xf>
    <xf numFmtId="0" fontId="107" fillId="0" borderId="0" xfId="73" applyFont="1" applyBorder="1">
      <alignment/>
      <protection/>
    </xf>
    <xf numFmtId="37" fontId="98" fillId="0" borderId="0" xfId="67" applyNumberFormat="1" applyFont="1" applyAlignment="1">
      <alignment horizontal="left"/>
      <protection/>
    </xf>
    <xf numFmtId="0" fontId="90" fillId="0" borderId="0" xfId="73" applyFont="1" applyFill="1" applyBorder="1">
      <alignment/>
      <protection/>
    </xf>
    <xf numFmtId="0" fontId="93" fillId="0" borderId="0" xfId="73" applyFont="1" applyFill="1" applyBorder="1">
      <alignment/>
      <protection/>
    </xf>
    <xf numFmtId="0" fontId="108" fillId="0" borderId="0" xfId="73" applyFont="1" applyFill="1" applyBorder="1" applyAlignment="1">
      <alignment horizontal="right"/>
      <protection/>
    </xf>
    <xf numFmtId="0" fontId="100" fillId="0" borderId="0" xfId="73" applyFont="1" applyFill="1" applyBorder="1">
      <alignment/>
      <protection/>
    </xf>
    <xf numFmtId="0" fontId="108" fillId="0" borderId="0" xfId="73" applyFont="1" applyFill="1" applyBorder="1">
      <alignment/>
      <protection/>
    </xf>
    <xf numFmtId="0" fontId="92" fillId="0" borderId="0" xfId="73" applyFont="1" applyFill="1" applyBorder="1" applyAlignment="1">
      <alignment horizontal="right"/>
      <protection/>
    </xf>
    <xf numFmtId="0" fontId="90" fillId="0" borderId="0" xfId="73" applyFont="1" applyFill="1">
      <alignment/>
      <protection/>
    </xf>
    <xf numFmtId="0" fontId="90" fillId="0" borderId="10" xfId="73" applyFont="1" applyFill="1" applyBorder="1" applyAlignment="1">
      <alignment horizontal="center" wrapText="1"/>
      <protection/>
    </xf>
    <xf numFmtId="0" fontId="87" fillId="0" borderId="10" xfId="73" applyFont="1" applyFill="1" applyBorder="1" applyAlignment="1">
      <alignment horizontal="center" wrapText="1"/>
      <protection/>
    </xf>
    <xf numFmtId="0" fontId="90" fillId="0" borderId="38" xfId="73" applyFont="1" applyFill="1" applyBorder="1" applyAlignment="1">
      <alignment horizontal="center" wrapText="1"/>
      <protection/>
    </xf>
    <xf numFmtId="0" fontId="90" fillId="0" borderId="36" xfId="73" applyFont="1" applyFill="1" applyBorder="1" applyAlignment="1">
      <alignment horizontal="center" wrapText="1"/>
      <protection/>
    </xf>
    <xf numFmtId="0" fontId="103" fillId="0" borderId="10" xfId="73" applyFont="1" applyFill="1" applyBorder="1" applyAlignment="1">
      <alignment horizontal="center" wrapText="1"/>
      <protection/>
    </xf>
    <xf numFmtId="0" fontId="90" fillId="0" borderId="39" xfId="73" applyFont="1" applyFill="1" applyBorder="1" applyAlignment="1">
      <alignment horizontal="center" wrapText="1"/>
      <protection/>
    </xf>
    <xf numFmtId="0" fontId="103" fillId="0" borderId="38" xfId="73" applyFont="1" applyFill="1" applyBorder="1" applyAlignment="1">
      <alignment horizontal="center" wrapText="1"/>
      <protection/>
    </xf>
    <xf numFmtId="0" fontId="87" fillId="0" borderId="39" xfId="73" applyFont="1" applyFill="1" applyBorder="1" applyAlignment="1">
      <alignment horizontal="center" wrapText="1"/>
      <protection/>
    </xf>
    <xf numFmtId="0" fontId="90" fillId="0" borderId="40" xfId="73" applyFont="1" applyFill="1" applyBorder="1" applyAlignment="1">
      <alignment horizontal="center" wrapText="1"/>
      <protection/>
    </xf>
    <xf numFmtId="0" fontId="90" fillId="0" borderId="0" xfId="73" applyFont="1" applyFill="1" applyBorder="1" applyAlignment="1">
      <alignment horizontal="center" wrapText="1"/>
      <protection/>
    </xf>
    <xf numFmtId="37" fontId="18" fillId="0" borderId="0" xfId="68" applyNumberFormat="1" applyFont="1" applyFill="1" applyAlignment="1" quotePrefix="1">
      <alignment horizontal="center"/>
      <protection/>
    </xf>
    <xf numFmtId="0" fontId="90" fillId="0" borderId="32" xfId="73" applyFont="1" applyFill="1" applyBorder="1" applyAlignment="1">
      <alignment horizontal="center" wrapText="1"/>
      <protection/>
    </xf>
    <xf numFmtId="37" fontId="18" fillId="0" borderId="41" xfId="68" applyNumberFormat="1" applyFont="1" applyFill="1" applyBorder="1" applyAlignment="1" quotePrefix="1">
      <alignment horizontal="center"/>
      <protection/>
    </xf>
    <xf numFmtId="37" fontId="18" fillId="0" borderId="32" xfId="68" applyNumberFormat="1" applyFont="1" applyFill="1" applyBorder="1" applyAlignment="1">
      <alignment horizontal="center"/>
      <protection/>
    </xf>
    <xf numFmtId="0" fontId="107" fillId="0" borderId="41" xfId="73" applyFont="1" applyFill="1" applyBorder="1" applyAlignment="1">
      <alignment horizontal="center" wrapText="1"/>
      <protection/>
    </xf>
    <xf numFmtId="0" fontId="90" fillId="0" borderId="41" xfId="73" applyFont="1" applyFill="1" applyBorder="1" applyAlignment="1">
      <alignment horizontal="center" wrapText="1"/>
      <protection/>
    </xf>
    <xf numFmtId="5" fontId="12" fillId="0" borderId="0" xfId="73" applyNumberFormat="1" applyFont="1" applyFill="1" applyBorder="1">
      <alignment/>
      <protection/>
    </xf>
    <xf numFmtId="5" fontId="90" fillId="0" borderId="0" xfId="73" applyNumberFormat="1" applyFont="1" applyFill="1">
      <alignment/>
      <protection/>
    </xf>
    <xf numFmtId="5" fontId="90" fillId="0" borderId="41" xfId="73" applyNumberFormat="1" applyFont="1" applyFill="1" applyBorder="1">
      <alignment/>
      <protection/>
    </xf>
    <xf numFmtId="166" fontId="12" fillId="0" borderId="32" xfId="73" applyNumberFormat="1" applyFont="1" applyFill="1" applyBorder="1">
      <alignment/>
      <protection/>
    </xf>
    <xf numFmtId="5" fontId="90" fillId="0" borderId="0" xfId="73" applyNumberFormat="1" applyFont="1" applyFill="1" applyBorder="1">
      <alignment/>
      <protection/>
    </xf>
    <xf numFmtId="5" fontId="90" fillId="0" borderId="32" xfId="73" applyNumberFormat="1" applyFont="1" applyFill="1" applyBorder="1">
      <alignment/>
      <protection/>
    </xf>
    <xf numFmtId="37" fontId="12" fillId="0" borderId="0" xfId="73" applyNumberFormat="1" applyFont="1" applyFill="1" applyBorder="1">
      <alignment/>
      <protection/>
    </xf>
    <xf numFmtId="37" fontId="90" fillId="0" borderId="0" xfId="73" applyNumberFormat="1" applyFont="1" applyFill="1">
      <alignment/>
      <protection/>
    </xf>
    <xf numFmtId="37" fontId="90" fillId="0" borderId="41" xfId="73" applyNumberFormat="1" applyFont="1" applyFill="1" applyBorder="1">
      <alignment/>
      <protection/>
    </xf>
    <xf numFmtId="37" fontId="90" fillId="0" borderId="0" xfId="73" applyNumberFormat="1" applyFont="1" applyFill="1" applyBorder="1">
      <alignment/>
      <protection/>
    </xf>
    <xf numFmtId="37" fontId="90" fillId="0" borderId="32" xfId="73" applyNumberFormat="1" applyFont="1" applyFill="1" applyBorder="1">
      <alignment/>
      <protection/>
    </xf>
    <xf numFmtId="37" fontId="12" fillId="0" borderId="41" xfId="73" applyNumberFormat="1" applyFont="1" applyFill="1" applyBorder="1">
      <alignment/>
      <protection/>
    </xf>
    <xf numFmtId="0" fontId="90" fillId="0" borderId="41" xfId="73" applyFont="1" applyFill="1" applyBorder="1">
      <alignment/>
      <protection/>
    </xf>
    <xf numFmtId="5" fontId="12" fillId="0" borderId="11" xfId="73" applyNumberFormat="1" applyFont="1" applyFill="1" applyBorder="1">
      <alignment/>
      <protection/>
    </xf>
    <xf numFmtId="5" fontId="12" fillId="0" borderId="42" xfId="73" applyNumberFormat="1" applyFont="1" applyFill="1" applyBorder="1">
      <alignment/>
      <protection/>
    </xf>
    <xf numFmtId="5" fontId="12" fillId="0" borderId="34" xfId="73" applyNumberFormat="1" applyFont="1" applyFill="1" applyBorder="1">
      <alignment/>
      <protection/>
    </xf>
    <xf numFmtId="5" fontId="90" fillId="0" borderId="42" xfId="73" applyNumberFormat="1" applyFont="1" applyFill="1" applyBorder="1">
      <alignment/>
      <protection/>
    </xf>
    <xf numFmtId="5" fontId="12" fillId="0" borderId="41" xfId="73" applyNumberFormat="1" applyFont="1" applyFill="1" applyBorder="1">
      <alignment/>
      <protection/>
    </xf>
    <xf numFmtId="5" fontId="12" fillId="0" borderId="32" xfId="73" applyNumberFormat="1" applyFont="1" applyFill="1" applyBorder="1">
      <alignment/>
      <protection/>
    </xf>
    <xf numFmtId="37" fontId="12" fillId="0" borderId="43" xfId="73" applyNumberFormat="1" applyFont="1" applyFill="1" applyBorder="1">
      <alignment/>
      <protection/>
    </xf>
    <xf numFmtId="37" fontId="12" fillId="0" borderId="18" xfId="73" applyNumberFormat="1" applyFont="1" applyFill="1" applyBorder="1">
      <alignment/>
      <protection/>
    </xf>
    <xf numFmtId="0" fontId="90" fillId="0" borderId="44" xfId="73" applyFont="1" applyFill="1" applyBorder="1">
      <alignment/>
      <protection/>
    </xf>
    <xf numFmtId="5" fontId="11" fillId="0" borderId="12" xfId="73" applyNumberFormat="1" applyFont="1" applyFill="1" applyBorder="1">
      <alignment/>
      <protection/>
    </xf>
    <xf numFmtId="5" fontId="11" fillId="0" borderId="45" xfId="73" applyNumberFormat="1" applyFont="1" applyFill="1" applyBorder="1">
      <alignment/>
      <protection/>
    </xf>
    <xf numFmtId="5" fontId="11" fillId="0" borderId="36" xfId="73" applyNumberFormat="1" applyFont="1" applyFill="1" applyBorder="1">
      <alignment/>
      <protection/>
    </xf>
    <xf numFmtId="5" fontId="11" fillId="0" borderId="10" xfId="73" applyNumberFormat="1" applyFont="1" applyFill="1" applyBorder="1">
      <alignment/>
      <protection/>
    </xf>
    <xf numFmtId="5" fontId="100" fillId="0" borderId="46" xfId="73" applyNumberFormat="1" applyFont="1" applyFill="1" applyBorder="1">
      <alignment/>
      <protection/>
    </xf>
    <xf numFmtId="7" fontId="90" fillId="0" borderId="0" xfId="73" applyNumberFormat="1" applyFont="1" applyFill="1">
      <alignment/>
      <protection/>
    </xf>
    <xf numFmtId="0" fontId="90" fillId="0" borderId="0" xfId="73" applyFont="1" applyFill="1" applyAlignment="1">
      <alignment vertical="center"/>
      <protection/>
    </xf>
    <xf numFmtId="7" fontId="90" fillId="0" borderId="0" xfId="73" applyNumberFormat="1" applyFont="1" applyFill="1" applyAlignment="1">
      <alignment vertical="center"/>
      <protection/>
    </xf>
    <xf numFmtId="5" fontId="90" fillId="0" borderId="0" xfId="73" applyNumberFormat="1" applyFont="1" applyFill="1" applyAlignment="1">
      <alignment vertical="center"/>
      <protection/>
    </xf>
    <xf numFmtId="37" fontId="18" fillId="0" borderId="41" xfId="68" applyNumberFormat="1" applyFont="1" applyFill="1" applyBorder="1" applyAlignment="1">
      <alignment horizontal="center"/>
      <protection/>
    </xf>
    <xf numFmtId="0" fontId="87" fillId="0" borderId="10" xfId="73" applyFont="1" applyBorder="1" applyAlignment="1">
      <alignment horizontal="center" wrapText="1"/>
      <protection/>
    </xf>
    <xf numFmtId="37" fontId="12" fillId="0" borderId="19" xfId="67" applyNumberFormat="1" applyFont="1" applyFill="1" applyBorder="1" applyAlignment="1">
      <alignment horizontal="right" indent="1"/>
      <protection/>
    </xf>
    <xf numFmtId="37" fontId="12" fillId="0" borderId="26" xfId="67" applyNumberFormat="1" applyFont="1" applyFill="1" applyBorder="1" applyAlignment="1">
      <alignment horizontal="center"/>
      <protection/>
    </xf>
    <xf numFmtId="5" fontId="12" fillId="0" borderId="19" xfId="67" applyNumberFormat="1" applyFont="1" applyFill="1" applyBorder="1" applyAlignment="1">
      <alignment/>
      <protection/>
    </xf>
    <xf numFmtId="5" fontId="90" fillId="0" borderId="26" xfId="67" applyNumberFormat="1" applyFont="1" applyFill="1" applyBorder="1" applyAlignment="1">
      <alignment/>
      <protection/>
    </xf>
    <xf numFmtId="37" fontId="12" fillId="0" borderId="19" xfId="67" applyNumberFormat="1" applyFont="1" applyFill="1" applyBorder="1" applyAlignment="1">
      <alignment/>
      <protection/>
    </xf>
    <xf numFmtId="37" fontId="90" fillId="0" borderId="26" xfId="67" applyNumberFormat="1" applyFont="1" applyFill="1" applyBorder="1" applyAlignment="1">
      <alignment/>
      <protection/>
    </xf>
    <xf numFmtId="37" fontId="24" fillId="0" borderId="26" xfId="67" applyNumberFormat="1" applyFont="1" applyFill="1" applyBorder="1" applyAlignment="1">
      <alignment/>
      <protection/>
    </xf>
    <xf numFmtId="5" fontId="12" fillId="0" borderId="47" xfId="67" applyNumberFormat="1" applyFont="1" applyFill="1" applyBorder="1" applyAlignment="1">
      <alignment/>
      <protection/>
    </xf>
    <xf numFmtId="5" fontId="12" fillId="0" borderId="15" xfId="67" applyNumberFormat="1" applyFont="1" applyFill="1" applyBorder="1" applyAlignment="1">
      <alignment/>
      <protection/>
    </xf>
    <xf numFmtId="37" fontId="27" fillId="0" borderId="14" xfId="67" applyNumberFormat="1" applyFont="1" applyFill="1" applyBorder="1">
      <alignment/>
      <protection/>
    </xf>
    <xf numFmtId="37" fontId="27" fillId="0" borderId="13" xfId="67" applyNumberFormat="1" applyFont="1" applyFill="1" applyBorder="1" applyAlignment="1">
      <alignment horizontal="center" wrapText="1"/>
      <protection/>
    </xf>
    <xf numFmtId="37" fontId="18" fillId="0" borderId="13" xfId="67" applyNumberFormat="1" applyFont="1" applyFill="1" applyBorder="1" applyAlignment="1">
      <alignment horizontal="center"/>
      <protection/>
    </xf>
    <xf numFmtId="37" fontId="0" fillId="0" borderId="13" xfId="67" applyNumberFormat="1" applyFill="1" applyBorder="1" applyAlignment="1">
      <alignment horizontal="center"/>
      <protection/>
    </xf>
    <xf numFmtId="5" fontId="12" fillId="0" borderId="13" xfId="67" applyNumberFormat="1" applyFont="1" applyFill="1" applyBorder="1">
      <alignment/>
      <protection/>
    </xf>
    <xf numFmtId="37" fontId="12" fillId="0" borderId="13" xfId="67" applyNumberFormat="1" applyFont="1" applyFill="1" applyBorder="1">
      <alignment/>
      <protection/>
    </xf>
    <xf numFmtId="5" fontId="12" fillId="0" borderId="16" xfId="67" applyNumberFormat="1" applyFont="1" applyFill="1" applyBorder="1" applyAlignment="1">
      <alignment/>
      <protection/>
    </xf>
    <xf numFmtId="5" fontId="12" fillId="0" borderId="24" xfId="67" applyNumberFormat="1" applyFont="1" applyFill="1" applyBorder="1" applyAlignment="1">
      <alignment/>
      <protection/>
    </xf>
    <xf numFmtId="5" fontId="12" fillId="0" borderId="25" xfId="67" applyNumberFormat="1" applyFont="1" applyFill="1" applyBorder="1" applyAlignment="1">
      <alignment/>
      <protection/>
    </xf>
    <xf numFmtId="5" fontId="12" fillId="0" borderId="17" xfId="67" applyNumberFormat="1" applyFont="1" applyFill="1" applyBorder="1" applyAlignment="1">
      <alignment/>
      <protection/>
    </xf>
    <xf numFmtId="37" fontId="5" fillId="0" borderId="14" xfId="71" applyNumberFormat="1" applyFont="1" applyFill="1" applyBorder="1" applyAlignment="1">
      <alignment horizontal="center" wrapText="1"/>
      <protection/>
    </xf>
    <xf numFmtId="0" fontId="6" fillId="0" borderId="13" xfId="71" applyFont="1" applyBorder="1">
      <alignment/>
      <protection/>
    </xf>
    <xf numFmtId="5" fontId="6" fillId="0" borderId="13" xfId="67" applyNumberFormat="1" applyFont="1" applyFill="1" applyBorder="1">
      <alignment/>
      <protection/>
    </xf>
    <xf numFmtId="166" fontId="6" fillId="0" borderId="13" xfId="49" applyNumberFormat="1" applyFont="1" applyBorder="1" applyAlignment="1">
      <alignment/>
    </xf>
    <xf numFmtId="166" fontId="6" fillId="0" borderId="48" xfId="49" applyNumberFormat="1" applyFont="1" applyBorder="1" applyAlignment="1">
      <alignment/>
    </xf>
    <xf numFmtId="5" fontId="5" fillId="0" borderId="48" xfId="71" applyNumberFormat="1" applyFont="1" applyFill="1" applyBorder="1">
      <alignment/>
      <protection/>
    </xf>
    <xf numFmtId="0" fontId="109" fillId="0" borderId="0" xfId="68" applyFont="1" applyFill="1" applyBorder="1">
      <alignment/>
      <protection/>
    </xf>
    <xf numFmtId="37" fontId="109" fillId="0" borderId="0" xfId="0" applyNumberFormat="1" applyFont="1" applyFill="1" applyBorder="1" applyAlignment="1">
      <alignment/>
    </xf>
    <xf numFmtId="0" fontId="87" fillId="0" borderId="46" xfId="73" applyFont="1" applyFill="1" applyBorder="1" applyAlignment="1">
      <alignment horizontal="center" wrapText="1"/>
      <protection/>
    </xf>
    <xf numFmtId="165" fontId="90" fillId="0" borderId="19" xfId="73" applyNumberFormat="1" applyFont="1" applyBorder="1">
      <alignment/>
      <protection/>
    </xf>
    <xf numFmtId="37" fontId="90" fillId="0" borderId="19" xfId="73" applyNumberFormat="1" applyFont="1" applyBorder="1">
      <alignment/>
      <protection/>
    </xf>
    <xf numFmtId="37" fontId="90" fillId="34" borderId="19" xfId="73" applyNumberFormat="1" applyFont="1" applyFill="1" applyBorder="1">
      <alignment/>
      <protection/>
    </xf>
    <xf numFmtId="37" fontId="3" fillId="0" borderId="49" xfId="0" applyNumberFormat="1" applyFont="1" applyFill="1" applyBorder="1" applyAlignment="1">
      <alignment horizontal="center" vertical="center"/>
    </xf>
    <xf numFmtId="37" fontId="3" fillId="0" borderId="18" xfId="0" applyNumberFormat="1" applyFont="1" applyFill="1" applyBorder="1" applyAlignment="1" quotePrefix="1">
      <alignment horizontal="center" vertical="center"/>
    </xf>
    <xf numFmtId="37" fontId="3" fillId="0" borderId="11" xfId="0" applyNumberFormat="1" applyFont="1" applyFill="1" applyBorder="1" applyAlignment="1">
      <alignment horizontal="center"/>
    </xf>
    <xf numFmtId="37" fontId="12" fillId="0" borderId="0" xfId="0" applyNumberFormat="1" applyFont="1" applyFill="1" applyAlignment="1">
      <alignment horizontal="left" vertical="top" wrapText="1"/>
    </xf>
    <xf numFmtId="37" fontId="16" fillId="0" borderId="19" xfId="67" applyNumberFormat="1" applyFont="1" applyFill="1" applyBorder="1" applyAlignment="1">
      <alignment horizontal="center" wrapText="1"/>
      <protection/>
    </xf>
    <xf numFmtId="37" fontId="16" fillId="0" borderId="0" xfId="67" applyNumberFormat="1" applyFont="1" applyFill="1" applyBorder="1" applyAlignment="1">
      <alignment horizontal="center" wrapText="1"/>
      <protection/>
    </xf>
    <xf numFmtId="37" fontId="16" fillId="0" borderId="26" xfId="67" applyNumberFormat="1" applyFont="1" applyFill="1" applyBorder="1" applyAlignment="1">
      <alignment horizontal="center" wrapText="1"/>
      <protection/>
    </xf>
    <xf numFmtId="37" fontId="27" fillId="0" borderId="18" xfId="67" applyNumberFormat="1" applyFont="1" applyFill="1" applyBorder="1" applyAlignment="1">
      <alignment horizontal="center"/>
      <protection/>
    </xf>
    <xf numFmtId="37" fontId="23" fillId="0" borderId="20" xfId="67" applyNumberFormat="1" applyFont="1" applyFill="1" applyBorder="1" applyAlignment="1">
      <alignment horizontal="center" wrapText="1"/>
      <protection/>
    </xf>
    <xf numFmtId="37" fontId="23" fillId="0" borderId="21" xfId="67" applyNumberFormat="1" applyFont="1" applyFill="1" applyBorder="1" applyAlignment="1">
      <alignment horizontal="center" wrapText="1"/>
      <protection/>
    </xf>
    <xf numFmtId="37" fontId="23" fillId="0" borderId="50" xfId="67" applyNumberFormat="1" applyFont="1" applyFill="1" applyBorder="1" applyAlignment="1">
      <alignment horizontal="center" wrapText="1"/>
      <protection/>
    </xf>
    <xf numFmtId="37" fontId="27" fillId="0" borderId="0" xfId="67" applyNumberFormat="1" applyFont="1" applyFill="1" applyBorder="1" applyAlignment="1">
      <alignment horizontal="center" wrapText="1"/>
      <protection/>
    </xf>
    <xf numFmtId="37" fontId="5" fillId="0" borderId="18" xfId="71" applyNumberFormat="1" applyFont="1" applyFill="1" applyBorder="1" applyAlignment="1">
      <alignment horizontal="center" vertical="center"/>
      <protection/>
    </xf>
    <xf numFmtId="0" fontId="6" fillId="0" borderId="0" xfId="71" applyNumberFormat="1" applyFont="1" applyAlignment="1">
      <alignment wrapText="1"/>
      <protection/>
    </xf>
    <xf numFmtId="0" fontId="19" fillId="0" borderId="0" xfId="71" applyAlignment="1">
      <alignment wrapText="1"/>
      <protection/>
    </xf>
    <xf numFmtId="0" fontId="6" fillId="0" borderId="0" xfId="71" applyFont="1" applyAlignment="1">
      <alignment horizontal="left" wrapText="1"/>
      <protection/>
    </xf>
    <xf numFmtId="37" fontId="13" fillId="0" borderId="51" xfId="68" applyNumberFormat="1" applyFont="1" applyFill="1" applyBorder="1" applyAlignment="1" quotePrefix="1">
      <alignment horizontal="center" wrapText="1"/>
      <protection/>
    </xf>
    <xf numFmtId="0" fontId="100" fillId="0" borderId="52" xfId="73" applyFont="1" applyFill="1" applyBorder="1" applyAlignment="1">
      <alignment horizontal="center"/>
      <protection/>
    </xf>
    <xf numFmtId="0" fontId="100" fillId="0" borderId="51" xfId="73" applyFont="1" applyFill="1" applyBorder="1" applyAlignment="1">
      <alignment horizontal="center"/>
      <protection/>
    </xf>
    <xf numFmtId="0" fontId="100" fillId="0" borderId="53" xfId="73" applyFont="1" applyFill="1" applyBorder="1" applyAlignment="1">
      <alignment horizontal="center"/>
      <protection/>
    </xf>
    <xf numFmtId="0" fontId="90" fillId="0" borderId="39" xfId="73" applyFont="1" applyFill="1" applyBorder="1" applyAlignment="1">
      <alignment horizontal="center"/>
      <protection/>
    </xf>
    <xf numFmtId="0" fontId="90" fillId="0" borderId="38" xfId="73" applyFont="1" applyFill="1" applyBorder="1" applyAlignment="1">
      <alignment horizontal="center"/>
      <protection/>
    </xf>
    <xf numFmtId="0" fontId="90" fillId="0" borderId="40" xfId="73" applyFont="1" applyFill="1" applyBorder="1" applyAlignment="1">
      <alignment horizontal="center"/>
      <protection/>
    </xf>
    <xf numFmtId="0" fontId="90" fillId="0" borderId="39" xfId="73" applyFont="1" applyBorder="1" applyAlignment="1">
      <alignment horizontal="center"/>
      <protection/>
    </xf>
    <xf numFmtId="0" fontId="90" fillId="0" borderId="38" xfId="73" applyFont="1" applyBorder="1" applyAlignment="1">
      <alignment horizontal="center"/>
      <protection/>
    </xf>
    <xf numFmtId="0" fontId="90" fillId="0" borderId="40" xfId="73" applyFont="1" applyBorder="1" applyAlignment="1">
      <alignment horizontal="center"/>
      <protection/>
    </xf>
    <xf numFmtId="0" fontId="110" fillId="0" borderId="39" xfId="73" applyFont="1" applyFill="1" applyBorder="1" applyAlignment="1">
      <alignment horizontal="center"/>
      <protection/>
    </xf>
    <xf numFmtId="0" fontId="110" fillId="0" borderId="38" xfId="73" applyFont="1" applyFill="1" applyBorder="1" applyAlignment="1">
      <alignment horizontal="center"/>
      <protection/>
    </xf>
    <xf numFmtId="0" fontId="110" fillId="0" borderId="40" xfId="73" applyFont="1" applyFill="1" applyBorder="1" applyAlignment="1">
      <alignment horizontal="center"/>
      <protection/>
    </xf>
    <xf numFmtId="0" fontId="87" fillId="0" borderId="0" xfId="68" applyFont="1" applyFill="1" applyBorder="1" applyAlignment="1">
      <alignment horizontal="left" vertical="top" wrapText="1"/>
      <protection/>
    </xf>
    <xf numFmtId="0" fontId="100" fillId="0" borderId="47" xfId="68" applyFont="1" applyFill="1" applyBorder="1" applyAlignment="1" quotePrefix="1">
      <alignment horizontal="center"/>
      <protection/>
    </xf>
    <xf numFmtId="0" fontId="100" fillId="0" borderId="11" xfId="68" applyFont="1" applyFill="1" applyBorder="1" applyAlignment="1" quotePrefix="1">
      <alignment horizontal="center"/>
      <protection/>
    </xf>
    <xf numFmtId="0" fontId="100" fillId="0" borderId="15" xfId="68" applyFont="1" applyFill="1" applyBorder="1" applyAlignment="1" quotePrefix="1">
      <alignment horizontal="center"/>
      <protection/>
    </xf>
    <xf numFmtId="0" fontId="90" fillId="0" borderId="24" xfId="68" applyFont="1" applyFill="1" applyBorder="1" applyAlignment="1">
      <alignment horizontal="center" wrapText="1"/>
      <protection/>
    </xf>
    <xf numFmtId="0" fontId="90" fillId="0" borderId="25" xfId="68" applyFont="1" applyFill="1" applyBorder="1" applyAlignment="1">
      <alignment horizontal="center" wrapText="1"/>
      <protection/>
    </xf>
    <xf numFmtId="0" fontId="90" fillId="0" borderId="10" xfId="68" applyFont="1" applyFill="1" applyBorder="1" applyAlignment="1">
      <alignment horizontal="center" wrapText="1"/>
      <protection/>
    </xf>
    <xf numFmtId="0" fontId="100" fillId="0" borderId="24" xfId="68" applyFont="1" applyFill="1" applyBorder="1" applyAlignment="1">
      <alignment horizontal="center" wrapText="1"/>
      <protection/>
    </xf>
    <xf numFmtId="0" fontId="100" fillId="0" borderId="12" xfId="68" applyFont="1" applyFill="1" applyBorder="1" applyAlignment="1">
      <alignment horizontal="center" wrapText="1"/>
      <protection/>
    </xf>
    <xf numFmtId="0" fontId="100" fillId="0" borderId="25" xfId="68" applyFont="1" applyFill="1" applyBorder="1" applyAlignment="1">
      <alignment horizontal="center" wrapText="1"/>
      <protection/>
    </xf>
  </cellXfs>
  <cellStyles count="7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4 2" xfId="47"/>
    <cellStyle name="Comma 5" xfId="48"/>
    <cellStyle name="Comma 6" xfId="49"/>
    <cellStyle name="Comma 7" xfId="50"/>
    <cellStyle name="Comma 7 2" xfId="51"/>
    <cellStyle name="Currency" xfId="52"/>
    <cellStyle name="Currency [0]" xfId="53"/>
    <cellStyle name="Currency 2" xfId="54"/>
    <cellStyle name="Currency 2 2" xfId="55"/>
    <cellStyle name="Currency 3" xfId="56"/>
    <cellStyle name="Currency 3 2" xfId="57"/>
    <cellStyle name="Explanatory Text" xfId="58"/>
    <cellStyle name="Good" xfId="59"/>
    <cellStyle name="Heading 1" xfId="60"/>
    <cellStyle name="Heading 2" xfId="61"/>
    <cellStyle name="Heading 3" xfId="62"/>
    <cellStyle name="Heading 4" xfId="63"/>
    <cellStyle name="Input" xfId="64"/>
    <cellStyle name="Linked Cell" xfId="65"/>
    <cellStyle name="Neutral" xfId="66"/>
    <cellStyle name="Normal 2" xfId="67"/>
    <cellStyle name="Normal 2 2" xfId="68"/>
    <cellStyle name="Normal 3" xfId="69"/>
    <cellStyle name="Normal 4" xfId="70"/>
    <cellStyle name="Normal 4 2" xfId="71"/>
    <cellStyle name="Normal 5" xfId="72"/>
    <cellStyle name="Normal 5 2" xfId="73"/>
    <cellStyle name="Normal 6" xfId="74"/>
    <cellStyle name="Normal 7" xfId="75"/>
    <cellStyle name="Normal 7 2" xfId="76"/>
    <cellStyle name="Note" xfId="77"/>
    <cellStyle name="Output" xfId="78"/>
    <cellStyle name="Percent" xfId="79"/>
    <cellStyle name="Percent 2" xfId="80"/>
    <cellStyle name="Title" xfId="81"/>
    <cellStyle name="Total" xfId="82"/>
    <cellStyle name="Warning Text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0"/>
  <sheetViews>
    <sheetView tabSelected="1" zoomScale="110" zoomScaleNormal="110" zoomScalePageLayoutView="0" workbookViewId="0" topLeftCell="A1">
      <pane xSplit="2" ySplit="6" topLeftCell="F14" activePane="bottomRight" state="frozen"/>
      <selection pane="topLeft" activeCell="A1" sqref="A1"/>
      <selection pane="topRight" activeCell="C1" sqref="C1"/>
      <selection pane="bottomLeft" activeCell="A8" sqref="A8"/>
      <selection pane="bottomRight" activeCell="R2" sqref="R2"/>
    </sheetView>
  </sheetViews>
  <sheetFormatPr defaultColWidth="9.33203125" defaultRowHeight="12.75"/>
  <cols>
    <col min="1" max="1" width="2.33203125" style="1" customWidth="1"/>
    <col min="2" max="2" width="22.33203125" style="1" bestFit="1" customWidth="1"/>
    <col min="3" max="4" width="14.83203125" style="1" customWidth="1"/>
    <col min="5" max="5" width="15" style="1" bestFit="1" customWidth="1"/>
    <col min="6" max="6" width="14.66015625" style="1" customWidth="1"/>
    <col min="7" max="7" width="3.83203125" style="8" customWidth="1"/>
    <col min="8" max="8" width="2.83203125" style="8" customWidth="1"/>
    <col min="9" max="9" width="16.33203125" style="1" bestFit="1" customWidth="1"/>
    <col min="10" max="10" width="2.83203125" style="1" customWidth="1"/>
    <col min="11" max="11" width="16.16015625" style="1" bestFit="1" customWidth="1"/>
    <col min="12" max="12" width="3.5" style="1" customWidth="1"/>
    <col min="13" max="13" width="15.83203125" style="1" bestFit="1" customWidth="1"/>
    <col min="14" max="14" width="2.83203125" style="1" customWidth="1"/>
    <col min="15" max="15" width="3.83203125" style="8" customWidth="1"/>
    <col min="16" max="17" width="15" style="1" bestFit="1" customWidth="1"/>
    <col min="18" max="18" width="13.66015625" style="1" customWidth="1"/>
    <col min="19" max="19" width="15" style="1" bestFit="1" customWidth="1"/>
    <col min="20" max="20" width="9.33203125" style="1" customWidth="1"/>
    <col min="21" max="22" width="15" style="1" bestFit="1" customWidth="1"/>
    <col min="23" max="23" width="14" style="1" bestFit="1" customWidth="1"/>
    <col min="24" max="16384" width="9.33203125" style="1" customWidth="1"/>
  </cols>
  <sheetData>
    <row r="1" spans="2:18" ht="18" customHeight="1">
      <c r="B1" s="139" t="s">
        <v>144</v>
      </c>
      <c r="R1" s="145" t="s">
        <v>164</v>
      </c>
    </row>
    <row r="2" ht="16.5" customHeight="1">
      <c r="B2" s="164"/>
    </row>
    <row r="3" spans="2:19" s="46" customFormat="1" ht="18" customHeight="1" thickBot="1">
      <c r="B3" s="45"/>
      <c r="C3" s="3">
        <v>-1</v>
      </c>
      <c r="D3" s="3">
        <v>-2</v>
      </c>
      <c r="E3" s="3">
        <v>-3</v>
      </c>
      <c r="F3" s="3">
        <v>-4</v>
      </c>
      <c r="G3" s="53"/>
      <c r="H3" s="178"/>
      <c r="I3" s="3">
        <v>-5</v>
      </c>
      <c r="J3" s="3"/>
      <c r="K3" s="3">
        <v>-6</v>
      </c>
      <c r="L3" s="3"/>
      <c r="M3" s="3">
        <v>-7</v>
      </c>
      <c r="N3" s="3"/>
      <c r="O3" s="5"/>
      <c r="P3" s="3">
        <v>-8</v>
      </c>
      <c r="Q3" s="3">
        <v>-9</v>
      </c>
      <c r="R3" s="3">
        <v>-10</v>
      </c>
      <c r="S3" s="3">
        <v>-11</v>
      </c>
    </row>
    <row r="4" spans="3:19" s="4" customFormat="1" ht="18" customHeight="1">
      <c r="C4" s="392" t="s">
        <v>43</v>
      </c>
      <c r="D4" s="392"/>
      <c r="E4" s="392"/>
      <c r="F4" s="392"/>
      <c r="G4" s="54"/>
      <c r="H4" s="393" t="s">
        <v>60</v>
      </c>
      <c r="I4" s="393"/>
      <c r="J4" s="393"/>
      <c r="K4" s="393"/>
      <c r="L4" s="393"/>
      <c r="M4" s="393"/>
      <c r="N4" s="393"/>
      <c r="O4" s="54"/>
      <c r="P4" s="392" t="s">
        <v>46</v>
      </c>
      <c r="Q4" s="392"/>
      <c r="R4" s="392"/>
      <c r="S4" s="392"/>
    </row>
    <row r="5" spans="3:19" s="4" customFormat="1" ht="12.75">
      <c r="C5" s="5"/>
      <c r="D5" s="5"/>
      <c r="E5" s="5"/>
      <c r="F5" s="5"/>
      <c r="G5" s="54"/>
      <c r="H5" s="54"/>
      <c r="I5" s="394" t="s">
        <v>127</v>
      </c>
      <c r="J5" s="394"/>
      <c r="K5" s="394"/>
      <c r="L5" s="253"/>
      <c r="M5" s="254" t="s">
        <v>128</v>
      </c>
      <c r="N5" s="253"/>
      <c r="O5" s="54"/>
      <c r="P5" s="5"/>
      <c r="Q5" s="5"/>
      <c r="R5" s="5"/>
      <c r="S5" s="5"/>
    </row>
    <row r="6" spans="2:19" s="15" customFormat="1" ht="57" customHeight="1" thickBot="1">
      <c r="B6" s="14"/>
      <c r="C6" s="42" t="s">
        <v>44</v>
      </c>
      <c r="D6" s="14" t="s">
        <v>30</v>
      </c>
      <c r="E6" s="14" t="s">
        <v>31</v>
      </c>
      <c r="F6" s="14" t="s">
        <v>28</v>
      </c>
      <c r="G6" s="35"/>
      <c r="H6" s="35"/>
      <c r="I6" s="42" t="s">
        <v>56</v>
      </c>
      <c r="J6" s="42"/>
      <c r="K6" s="42" t="s">
        <v>63</v>
      </c>
      <c r="L6" s="42"/>
      <c r="M6" s="187" t="s">
        <v>129</v>
      </c>
      <c r="N6" s="42"/>
      <c r="O6" s="35"/>
      <c r="P6" s="42" t="s">
        <v>34</v>
      </c>
      <c r="Q6" s="187" t="s">
        <v>132</v>
      </c>
      <c r="R6" s="14" t="s">
        <v>59</v>
      </c>
      <c r="S6" s="14" t="s">
        <v>42</v>
      </c>
    </row>
    <row r="7" spans="2:19" s="6" customFormat="1" ht="22.5">
      <c r="B7" s="16"/>
      <c r="C7" s="16"/>
      <c r="D7" s="16"/>
      <c r="E7" s="16"/>
      <c r="F7" s="17" t="s">
        <v>45</v>
      </c>
      <c r="G7" s="16"/>
      <c r="H7" s="16"/>
      <c r="I7" s="18" t="s">
        <v>152</v>
      </c>
      <c r="J7" s="18"/>
      <c r="K7" s="18" t="s">
        <v>64</v>
      </c>
      <c r="L7" s="18"/>
      <c r="M7" s="18" t="s">
        <v>134</v>
      </c>
      <c r="N7" s="18"/>
      <c r="O7" s="16"/>
      <c r="P7" s="19" t="s">
        <v>67</v>
      </c>
      <c r="Q7" s="19" t="s">
        <v>133</v>
      </c>
      <c r="R7" s="62" t="s">
        <v>47</v>
      </c>
      <c r="S7" s="17" t="s">
        <v>66</v>
      </c>
    </row>
    <row r="8" ht="9" customHeight="1"/>
    <row r="9" spans="2:21" s="7" customFormat="1" ht="12.75">
      <c r="B9" s="9" t="s">
        <v>0</v>
      </c>
      <c r="C9" s="28">
        <v>49859822</v>
      </c>
      <c r="D9" s="75">
        <v>28947000</v>
      </c>
      <c r="E9" s="10">
        <v>3030000</v>
      </c>
      <c r="F9" s="7">
        <f>SUM(C9:E9)</f>
        <v>81836822</v>
      </c>
      <c r="G9" s="9"/>
      <c r="H9" s="9"/>
      <c r="I9" s="7">
        <f>'(B) Base Bud Adj'!W8</f>
        <v>1254327</v>
      </c>
      <c r="M9" s="7">
        <f>'(E) SUF Revenue-310,317'!Y8</f>
        <v>1558000</v>
      </c>
      <c r="O9" s="9"/>
      <c r="P9" s="7">
        <f aca="true" t="shared" si="0" ref="P9:P31">C9+I9</f>
        <v>51114149</v>
      </c>
      <c r="Q9" s="7">
        <f>D9+M9</f>
        <v>30505000</v>
      </c>
      <c r="R9" s="7">
        <f>E9</f>
        <v>3030000</v>
      </c>
      <c r="S9" s="7">
        <f>SUM(P9:R9)</f>
        <v>84649149</v>
      </c>
      <c r="U9" s="1"/>
    </row>
    <row r="10" spans="2:19" ht="12.75">
      <c r="B10" s="8" t="s">
        <v>1</v>
      </c>
      <c r="C10" s="27">
        <v>38120853</v>
      </c>
      <c r="D10" s="74">
        <v>13044000</v>
      </c>
      <c r="E10" s="11">
        <v>1349000</v>
      </c>
      <c r="F10" s="1">
        <f>SUM(C10:E10)</f>
        <v>52513853</v>
      </c>
      <c r="I10" s="1">
        <f>'(B) Base Bud Adj'!W9</f>
        <v>2474847</v>
      </c>
      <c r="M10" s="1">
        <f>'(E) SUF Revenue-310,317'!Y9</f>
        <v>677000</v>
      </c>
      <c r="P10" s="1">
        <f>C10+I10</f>
        <v>40595700</v>
      </c>
      <c r="Q10" s="1">
        <f>D10+M10</f>
        <v>13721000</v>
      </c>
      <c r="R10" s="1">
        <f>E10</f>
        <v>1349000</v>
      </c>
      <c r="S10" s="1">
        <f>SUM(P10:R10)</f>
        <v>55665700</v>
      </c>
    </row>
    <row r="11" spans="2:19" ht="12.75">
      <c r="B11" s="8" t="s">
        <v>2</v>
      </c>
      <c r="C11" s="27">
        <v>90188102</v>
      </c>
      <c r="D11" s="74">
        <v>61237000</v>
      </c>
      <c r="E11" s="11">
        <v>9051000</v>
      </c>
      <c r="F11" s="1">
        <f aca="true" t="shared" si="1" ref="F11:F31">SUM(C11:E11)</f>
        <v>160476102</v>
      </c>
      <c r="I11" s="1">
        <f>'(B) Base Bud Adj'!W10</f>
        <v>1170490</v>
      </c>
      <c r="M11" s="1">
        <f>'(E) SUF Revenue-310,317'!Y10</f>
        <v>-25000</v>
      </c>
      <c r="P11" s="1">
        <f t="shared" si="0"/>
        <v>91358592</v>
      </c>
      <c r="Q11" s="1">
        <f aca="true" t="shared" si="2" ref="Q11:Q31">D11+M11</f>
        <v>61212000</v>
      </c>
      <c r="R11" s="1">
        <f aca="true" t="shared" si="3" ref="R11:R31">E11</f>
        <v>9051000</v>
      </c>
      <c r="S11" s="1">
        <f aca="true" t="shared" si="4" ref="S11:S31">SUM(P11:R11)</f>
        <v>161621592</v>
      </c>
    </row>
    <row r="12" spans="2:19" ht="12.75">
      <c r="B12" s="8" t="s">
        <v>3</v>
      </c>
      <c r="C12" s="27">
        <v>61273282</v>
      </c>
      <c r="D12" s="74">
        <v>46276000</v>
      </c>
      <c r="E12" s="11">
        <v>3184000</v>
      </c>
      <c r="F12" s="1">
        <f t="shared" si="1"/>
        <v>110733282</v>
      </c>
      <c r="I12" s="1">
        <f>'(B) Base Bud Adj'!W11</f>
        <v>365050</v>
      </c>
      <c r="M12" s="1">
        <f>'(E) SUF Revenue-310,317'!Y11</f>
        <v>3702000</v>
      </c>
      <c r="P12" s="1">
        <f t="shared" si="0"/>
        <v>61638332</v>
      </c>
      <c r="Q12" s="1">
        <f t="shared" si="2"/>
        <v>49978000</v>
      </c>
      <c r="R12" s="1">
        <f t="shared" si="3"/>
        <v>3184000</v>
      </c>
      <c r="S12" s="1">
        <f t="shared" si="4"/>
        <v>114800332</v>
      </c>
    </row>
    <row r="13" spans="2:19" ht="12.75">
      <c r="B13" s="8" t="s">
        <v>29</v>
      </c>
      <c r="C13" s="27">
        <v>67857621</v>
      </c>
      <c r="D13" s="74">
        <v>57544000</v>
      </c>
      <c r="E13" s="11">
        <v>14182000</v>
      </c>
      <c r="F13" s="1">
        <f t="shared" si="1"/>
        <v>139583621</v>
      </c>
      <c r="I13" s="1">
        <f>'(B) Base Bud Adj'!W12</f>
        <v>319190</v>
      </c>
      <c r="M13" s="1">
        <f>'(E) SUF Revenue-310,317'!Y12</f>
        <v>1465000</v>
      </c>
      <c r="P13" s="1">
        <f t="shared" si="0"/>
        <v>68176811</v>
      </c>
      <c r="Q13" s="1">
        <f t="shared" si="2"/>
        <v>59009000</v>
      </c>
      <c r="R13" s="1">
        <f t="shared" si="3"/>
        <v>14182000</v>
      </c>
      <c r="S13" s="1">
        <f t="shared" si="4"/>
        <v>141367811</v>
      </c>
    </row>
    <row r="14" spans="2:19" ht="12.75">
      <c r="B14" s="8" t="s">
        <v>4</v>
      </c>
      <c r="C14" s="27">
        <v>118055402</v>
      </c>
      <c r="D14" s="74">
        <v>82740000</v>
      </c>
      <c r="E14" s="11">
        <v>11119000</v>
      </c>
      <c r="F14" s="1">
        <f t="shared" si="1"/>
        <v>211914402</v>
      </c>
      <c r="I14" s="1">
        <f>'(B) Base Bud Adj'!W13</f>
        <v>2440250</v>
      </c>
      <c r="M14" s="1">
        <f>'(E) SUF Revenue-310,317'!Y13</f>
        <v>-443000</v>
      </c>
      <c r="P14" s="1">
        <f t="shared" si="0"/>
        <v>120495652</v>
      </c>
      <c r="Q14" s="1">
        <f t="shared" si="2"/>
        <v>82297000</v>
      </c>
      <c r="R14" s="1">
        <f t="shared" si="3"/>
        <v>11119000</v>
      </c>
      <c r="S14" s="1">
        <f t="shared" si="4"/>
        <v>213911652</v>
      </c>
    </row>
    <row r="15" spans="2:19" ht="12.75">
      <c r="B15" s="8" t="s">
        <v>5</v>
      </c>
      <c r="C15" s="27">
        <v>136371537</v>
      </c>
      <c r="D15" s="74">
        <v>135897000</v>
      </c>
      <c r="E15" s="11">
        <v>21642000</v>
      </c>
      <c r="F15" s="1">
        <f t="shared" si="1"/>
        <v>293910537</v>
      </c>
      <c r="I15" s="1">
        <f>'(B) Base Bud Adj'!W14</f>
        <v>-5232150</v>
      </c>
      <c r="M15" s="1">
        <f>'(E) SUF Revenue-310,317'!Y14</f>
        <v>1966000</v>
      </c>
      <c r="P15" s="1">
        <f t="shared" si="0"/>
        <v>131139387</v>
      </c>
      <c r="Q15" s="1">
        <f t="shared" si="2"/>
        <v>137863000</v>
      </c>
      <c r="R15" s="1">
        <f t="shared" si="3"/>
        <v>21642000</v>
      </c>
      <c r="S15" s="1">
        <f t="shared" si="4"/>
        <v>290644387</v>
      </c>
    </row>
    <row r="16" spans="2:19" ht="12.75">
      <c r="B16" s="8" t="s">
        <v>6</v>
      </c>
      <c r="C16" s="27">
        <v>62436110</v>
      </c>
      <c r="D16" s="74">
        <v>28900000</v>
      </c>
      <c r="E16" s="11">
        <v>5686000</v>
      </c>
      <c r="F16" s="1">
        <f t="shared" si="1"/>
        <v>97022110</v>
      </c>
      <c r="I16" s="1">
        <f>'(B) Base Bud Adj'!W15</f>
        <v>2629290</v>
      </c>
      <c r="M16" s="1">
        <f>'(E) SUF Revenue-310,317'!Y15</f>
        <v>1055000</v>
      </c>
      <c r="P16" s="1">
        <f t="shared" si="0"/>
        <v>65065400</v>
      </c>
      <c r="Q16" s="1">
        <f t="shared" si="2"/>
        <v>29955000</v>
      </c>
      <c r="R16" s="1">
        <f t="shared" si="3"/>
        <v>5686000</v>
      </c>
      <c r="S16" s="1">
        <f t="shared" si="4"/>
        <v>100706400</v>
      </c>
    </row>
    <row r="17" spans="2:19" ht="12.75">
      <c r="B17" s="8" t="s">
        <v>7</v>
      </c>
      <c r="C17" s="27">
        <v>154573278</v>
      </c>
      <c r="D17" s="74">
        <v>137219000</v>
      </c>
      <c r="E17" s="11">
        <v>24400000</v>
      </c>
      <c r="F17" s="1">
        <f t="shared" si="1"/>
        <v>316192278</v>
      </c>
      <c r="I17" s="1">
        <f>'(B) Base Bud Adj'!W16</f>
        <v>-3271611.84</v>
      </c>
      <c r="M17" s="1">
        <f>'(E) SUF Revenue-310,317'!Y16</f>
        <v>-1873000</v>
      </c>
      <c r="P17" s="1">
        <f t="shared" si="0"/>
        <v>151301666.16</v>
      </c>
      <c r="Q17" s="1">
        <f t="shared" si="2"/>
        <v>135346000</v>
      </c>
      <c r="R17" s="1">
        <f t="shared" si="3"/>
        <v>24400000</v>
      </c>
      <c r="S17" s="1">
        <f t="shared" si="4"/>
        <v>311047666.15999997</v>
      </c>
    </row>
    <row r="18" spans="2:19" ht="12.75">
      <c r="B18" s="8" t="s">
        <v>8</v>
      </c>
      <c r="C18" s="27">
        <v>103587079</v>
      </c>
      <c r="D18" s="74">
        <v>81910000</v>
      </c>
      <c r="E18" s="11">
        <v>10818000</v>
      </c>
      <c r="F18" s="1">
        <f t="shared" si="1"/>
        <v>196315079</v>
      </c>
      <c r="I18" s="1">
        <f>'(B) Base Bud Adj'!W17</f>
        <v>1185700</v>
      </c>
      <c r="M18" s="1">
        <f>'(E) SUF Revenue-310,317'!Y17</f>
        <v>3031000</v>
      </c>
      <c r="P18" s="1">
        <f t="shared" si="0"/>
        <v>104772779</v>
      </c>
      <c r="Q18" s="1">
        <f t="shared" si="2"/>
        <v>84941000</v>
      </c>
      <c r="R18" s="1">
        <f t="shared" si="3"/>
        <v>10818000</v>
      </c>
      <c r="S18" s="1">
        <f t="shared" si="4"/>
        <v>200531779</v>
      </c>
    </row>
    <row r="19" spans="2:19" ht="12.75">
      <c r="B19" s="8" t="s">
        <v>9</v>
      </c>
      <c r="C19" s="27">
        <v>16472011</v>
      </c>
      <c r="D19" s="74">
        <v>2814000</v>
      </c>
      <c r="E19" s="11">
        <v>3317000</v>
      </c>
      <c r="F19" s="1">
        <f t="shared" si="1"/>
        <v>22603011</v>
      </c>
      <c r="I19" s="1">
        <f>'(B) Base Bud Adj'!W18</f>
        <v>1416810</v>
      </c>
      <c r="M19" s="1">
        <f>'(E) SUF Revenue-310,317'!Y18</f>
        <v>158000</v>
      </c>
      <c r="P19" s="1">
        <f t="shared" si="0"/>
        <v>17888821</v>
      </c>
      <c r="Q19" s="1">
        <f t="shared" si="2"/>
        <v>2972000</v>
      </c>
      <c r="R19" s="1">
        <f t="shared" si="3"/>
        <v>3317000</v>
      </c>
      <c r="S19" s="1">
        <f t="shared" si="4"/>
        <v>24177821</v>
      </c>
    </row>
    <row r="20" spans="2:19" ht="12.75">
      <c r="B20" s="8" t="s">
        <v>10</v>
      </c>
      <c r="C20" s="27">
        <v>46061803</v>
      </c>
      <c r="D20" s="74">
        <v>14692000</v>
      </c>
      <c r="E20" s="11">
        <v>2099000</v>
      </c>
      <c r="F20" s="1">
        <f t="shared" si="1"/>
        <v>62852803</v>
      </c>
      <c r="I20" s="1">
        <f>'(B) Base Bud Adj'!W19</f>
        <v>2516820</v>
      </c>
      <c r="M20" s="1">
        <f>'(E) SUF Revenue-310,317'!Y19</f>
        <v>1589000</v>
      </c>
      <c r="P20" s="1">
        <f t="shared" si="0"/>
        <v>48578623</v>
      </c>
      <c r="Q20" s="1">
        <f t="shared" si="2"/>
        <v>16281000</v>
      </c>
      <c r="R20" s="1">
        <f t="shared" si="3"/>
        <v>2099000</v>
      </c>
      <c r="S20" s="1">
        <f t="shared" si="4"/>
        <v>66958623</v>
      </c>
    </row>
    <row r="21" spans="2:19" ht="12.75">
      <c r="B21" s="8" t="s">
        <v>11</v>
      </c>
      <c r="C21" s="27">
        <v>148718316</v>
      </c>
      <c r="D21" s="74">
        <v>127788000</v>
      </c>
      <c r="E21" s="11">
        <v>26955000</v>
      </c>
      <c r="F21" s="1">
        <f t="shared" si="1"/>
        <v>303461316</v>
      </c>
      <c r="I21" s="1">
        <f>'(B) Base Bud Adj'!W20</f>
        <v>-1769000</v>
      </c>
      <c r="M21" s="1">
        <f>'(E) SUF Revenue-310,317'!Y20</f>
        <v>-16000</v>
      </c>
      <c r="P21" s="1">
        <f t="shared" si="0"/>
        <v>146949316</v>
      </c>
      <c r="Q21" s="1">
        <f t="shared" si="2"/>
        <v>127772000</v>
      </c>
      <c r="R21" s="1">
        <f t="shared" si="3"/>
        <v>26955000</v>
      </c>
      <c r="S21" s="1">
        <f t="shared" si="4"/>
        <v>301676316</v>
      </c>
    </row>
    <row r="22" spans="2:19" ht="12.75">
      <c r="B22" s="8" t="s">
        <v>12</v>
      </c>
      <c r="C22" s="27">
        <v>110101122</v>
      </c>
      <c r="D22" s="74">
        <v>75416000</v>
      </c>
      <c r="E22" s="11">
        <v>10617000</v>
      </c>
      <c r="F22" s="1">
        <f t="shared" si="1"/>
        <v>196134122</v>
      </c>
      <c r="I22" s="1">
        <f>'(B) Base Bud Adj'!W21</f>
        <v>1136560</v>
      </c>
      <c r="M22" s="1">
        <f>'(E) SUF Revenue-310,317'!Y21</f>
        <v>1851000</v>
      </c>
      <c r="P22" s="1">
        <f t="shared" si="0"/>
        <v>111237682</v>
      </c>
      <c r="Q22" s="1">
        <f t="shared" si="2"/>
        <v>77267000</v>
      </c>
      <c r="R22" s="1">
        <f t="shared" si="3"/>
        <v>10617000</v>
      </c>
      <c r="S22" s="1">
        <f t="shared" si="4"/>
        <v>199121682</v>
      </c>
    </row>
    <row r="23" spans="2:19" ht="12.75">
      <c r="B23" s="8" t="s">
        <v>13</v>
      </c>
      <c r="C23" s="27">
        <v>126087817</v>
      </c>
      <c r="D23" s="74">
        <v>103083000</v>
      </c>
      <c r="E23" s="11">
        <v>14624000</v>
      </c>
      <c r="F23" s="1">
        <f t="shared" si="1"/>
        <v>243794817</v>
      </c>
      <c r="I23" s="1">
        <f>'(B) Base Bud Adj'!W22</f>
        <v>-2414270</v>
      </c>
      <c r="M23" s="1">
        <f>'(E) SUF Revenue-310,317'!Y22</f>
        <v>-3084000</v>
      </c>
      <c r="P23" s="1">
        <f t="shared" si="0"/>
        <v>123673547</v>
      </c>
      <c r="Q23" s="1">
        <f t="shared" si="2"/>
        <v>99999000</v>
      </c>
      <c r="R23" s="1">
        <f t="shared" si="3"/>
        <v>14624000</v>
      </c>
      <c r="S23" s="1">
        <f t="shared" si="4"/>
        <v>238296547</v>
      </c>
    </row>
    <row r="24" spans="2:19" ht="12.75">
      <c r="B24" s="8" t="s">
        <v>14</v>
      </c>
      <c r="C24" s="27">
        <v>83133458</v>
      </c>
      <c r="D24" s="74">
        <v>66950000</v>
      </c>
      <c r="E24" s="11">
        <v>10780000</v>
      </c>
      <c r="F24" s="1">
        <f t="shared" si="1"/>
        <v>160863458</v>
      </c>
      <c r="I24" s="1">
        <f>'(B) Base Bud Adj'!W23</f>
        <v>623390</v>
      </c>
      <c r="M24" s="1">
        <f>'(E) SUF Revenue-310,317'!Y23</f>
        <v>1848000</v>
      </c>
      <c r="P24" s="1">
        <f t="shared" si="0"/>
        <v>83756848</v>
      </c>
      <c r="Q24" s="1">
        <f t="shared" si="2"/>
        <v>68798000</v>
      </c>
      <c r="R24" s="1">
        <f t="shared" si="3"/>
        <v>10780000</v>
      </c>
      <c r="S24" s="1">
        <f t="shared" si="4"/>
        <v>163334848</v>
      </c>
    </row>
    <row r="25" spans="2:19" ht="12.75">
      <c r="B25" s="8" t="s">
        <v>15</v>
      </c>
      <c r="C25" s="27">
        <v>166107116</v>
      </c>
      <c r="D25" s="74">
        <v>127796000</v>
      </c>
      <c r="E25" s="11">
        <v>30932000</v>
      </c>
      <c r="F25" s="1">
        <f t="shared" si="1"/>
        <v>324835116</v>
      </c>
      <c r="I25" s="1">
        <f>'(B) Base Bud Adj'!W24</f>
        <v>-2162630</v>
      </c>
      <c r="M25" s="1">
        <f>'(E) SUF Revenue-310,317'!Y24</f>
        <v>1729000</v>
      </c>
      <c r="P25" s="1">
        <f>C25+I25</f>
        <v>163944486</v>
      </c>
      <c r="Q25" s="1">
        <f t="shared" si="2"/>
        <v>129525000</v>
      </c>
      <c r="R25" s="1">
        <f t="shared" si="3"/>
        <v>30932000</v>
      </c>
      <c r="S25" s="1">
        <f t="shared" si="4"/>
        <v>324401486</v>
      </c>
    </row>
    <row r="26" spans="2:19" ht="12.75">
      <c r="B26" s="8" t="s">
        <v>16</v>
      </c>
      <c r="C26" s="27">
        <v>128676149</v>
      </c>
      <c r="D26" s="74">
        <v>113220000</v>
      </c>
      <c r="E26" s="11">
        <v>28331000</v>
      </c>
      <c r="F26" s="1">
        <f t="shared" si="1"/>
        <v>270227149</v>
      </c>
      <c r="I26" s="1">
        <f>'(B) Base Bud Adj'!W25</f>
        <v>-2671910</v>
      </c>
      <c r="M26" s="1">
        <f>'(E) SUF Revenue-310,317'!Y25</f>
        <v>2734000</v>
      </c>
      <c r="P26" s="1">
        <f t="shared" si="0"/>
        <v>126004239</v>
      </c>
      <c r="Q26" s="1">
        <f t="shared" si="2"/>
        <v>115954000</v>
      </c>
      <c r="R26" s="1">
        <f t="shared" si="3"/>
        <v>28331000</v>
      </c>
      <c r="S26" s="1">
        <f t="shared" si="4"/>
        <v>270289239</v>
      </c>
    </row>
    <row r="27" spans="2:19" ht="12.75">
      <c r="B27" s="8" t="s">
        <v>17</v>
      </c>
      <c r="C27" s="27">
        <v>125111472</v>
      </c>
      <c r="D27" s="74">
        <v>116660000</v>
      </c>
      <c r="E27" s="11">
        <v>23868000</v>
      </c>
      <c r="F27" s="1">
        <f t="shared" si="1"/>
        <v>265639472</v>
      </c>
      <c r="I27" s="1">
        <f>'(B) Base Bud Adj'!W26</f>
        <v>-2062040</v>
      </c>
      <c r="M27" s="1">
        <f>'(E) SUF Revenue-310,317'!Y26</f>
        <v>-339000</v>
      </c>
      <c r="P27" s="1">
        <f t="shared" si="0"/>
        <v>123049432</v>
      </c>
      <c r="Q27" s="1">
        <f t="shared" si="2"/>
        <v>116321000</v>
      </c>
      <c r="R27" s="1">
        <f t="shared" si="3"/>
        <v>23868000</v>
      </c>
      <c r="S27" s="1">
        <f t="shared" si="4"/>
        <v>263238432</v>
      </c>
    </row>
    <row r="28" spans="2:19" ht="12.75">
      <c r="B28" s="8" t="s">
        <v>18</v>
      </c>
      <c r="C28" s="27">
        <v>110289288</v>
      </c>
      <c r="D28" s="74">
        <v>73930000</v>
      </c>
      <c r="E28" s="11">
        <v>29945000</v>
      </c>
      <c r="F28" s="1">
        <f t="shared" si="1"/>
        <v>214164288</v>
      </c>
      <c r="I28" s="1">
        <f>'(B) Base Bud Adj'!W27</f>
        <v>1532020</v>
      </c>
      <c r="M28" s="1">
        <f>'(E) SUF Revenue-310,317'!Y27</f>
        <v>-225000</v>
      </c>
      <c r="P28" s="1">
        <f t="shared" si="0"/>
        <v>111821308</v>
      </c>
      <c r="Q28" s="1">
        <f t="shared" si="2"/>
        <v>73705000</v>
      </c>
      <c r="R28" s="1">
        <f t="shared" si="3"/>
        <v>29945000</v>
      </c>
      <c r="S28" s="1">
        <f t="shared" si="4"/>
        <v>215471308</v>
      </c>
    </row>
    <row r="29" spans="2:19" ht="12.75">
      <c r="B29" s="8" t="s">
        <v>19</v>
      </c>
      <c r="C29" s="27">
        <v>53536642</v>
      </c>
      <c r="D29" s="74">
        <v>33333000</v>
      </c>
      <c r="E29" s="11">
        <v>4670000</v>
      </c>
      <c r="F29" s="1">
        <f t="shared" si="1"/>
        <v>91539642</v>
      </c>
      <c r="I29" s="1">
        <f>'(B) Base Bud Adj'!W28</f>
        <v>1230420</v>
      </c>
      <c r="M29" s="1">
        <f>'(E) SUF Revenue-310,317'!Y28</f>
        <v>2220000</v>
      </c>
      <c r="P29" s="1">
        <f t="shared" si="0"/>
        <v>54767062</v>
      </c>
      <c r="Q29" s="1">
        <f t="shared" si="2"/>
        <v>35553000</v>
      </c>
      <c r="R29" s="1">
        <f t="shared" si="3"/>
        <v>4670000</v>
      </c>
      <c r="S29" s="1">
        <f t="shared" si="4"/>
        <v>94990062</v>
      </c>
    </row>
    <row r="30" spans="2:19" ht="12.75">
      <c r="B30" s="8" t="s">
        <v>20</v>
      </c>
      <c r="C30" s="27">
        <v>51085673</v>
      </c>
      <c r="D30" s="74">
        <v>30537000</v>
      </c>
      <c r="E30" s="11">
        <v>4051000</v>
      </c>
      <c r="F30" s="1">
        <f t="shared" si="1"/>
        <v>85673673</v>
      </c>
      <c r="I30" s="1">
        <f>'(B) Base Bud Adj'!W29</f>
        <v>665130</v>
      </c>
      <c r="M30" s="1">
        <f>'(E) SUF Revenue-310,317'!Y29</f>
        <v>956000</v>
      </c>
      <c r="P30" s="1">
        <f t="shared" si="0"/>
        <v>51750803</v>
      </c>
      <c r="Q30" s="1">
        <f t="shared" si="2"/>
        <v>31493000</v>
      </c>
      <c r="R30" s="1">
        <f>E30</f>
        <v>4051000</v>
      </c>
      <c r="S30" s="1">
        <f t="shared" si="4"/>
        <v>87294803</v>
      </c>
    </row>
    <row r="31" spans="2:19" ht="12.75">
      <c r="B31" s="8" t="s">
        <v>21</v>
      </c>
      <c r="C31" s="27">
        <v>51346837</v>
      </c>
      <c r="D31" s="74">
        <v>31164000</v>
      </c>
      <c r="E31" s="11">
        <v>3567000</v>
      </c>
      <c r="F31" s="1">
        <f t="shared" si="1"/>
        <v>86077837</v>
      </c>
      <c r="I31" s="1">
        <f>'(B) Base Bud Adj'!W30</f>
        <v>988270</v>
      </c>
      <c r="M31" s="1">
        <f>'(E) SUF Revenue-310,317'!Y30</f>
        <v>1477000</v>
      </c>
      <c r="P31" s="1">
        <f t="shared" si="0"/>
        <v>52335107</v>
      </c>
      <c r="Q31" s="1">
        <f t="shared" si="2"/>
        <v>32641000</v>
      </c>
      <c r="R31" s="1">
        <f t="shared" si="3"/>
        <v>3567000</v>
      </c>
      <c r="S31" s="1">
        <f t="shared" si="4"/>
        <v>88543107</v>
      </c>
    </row>
    <row r="32" ht="9" customHeight="1"/>
    <row r="33" spans="2:23" s="7" customFormat="1" ht="15" customHeight="1">
      <c r="B33" s="12" t="s">
        <v>22</v>
      </c>
      <c r="C33" s="12">
        <v>2099050790</v>
      </c>
      <c r="D33" s="12">
        <f>SUM(D9:D32)</f>
        <v>1591097000</v>
      </c>
      <c r="E33" s="12">
        <f>SUM(E9:E31)</f>
        <v>298217000</v>
      </c>
      <c r="F33" s="12">
        <f>SUM(F9:F32)</f>
        <v>3988364790</v>
      </c>
      <c r="G33" s="9"/>
      <c r="H33" s="9"/>
      <c r="I33" s="12">
        <f>SUM(I9:I32)</f>
        <v>2364952.16</v>
      </c>
      <c r="J33" s="12"/>
      <c r="K33" s="12">
        <f>SUM(K9:K32)</f>
        <v>0</v>
      </c>
      <c r="L33" s="12"/>
      <c r="M33" s="12">
        <f>SUM(M9:M32)</f>
        <v>22011000</v>
      </c>
      <c r="N33" s="12"/>
      <c r="O33" s="9"/>
      <c r="P33" s="12">
        <f>SUM(P9:P32)</f>
        <v>2101415742.1599998</v>
      </c>
      <c r="Q33" s="12">
        <f>SUM(Q9:Q32)</f>
        <v>1613108000</v>
      </c>
      <c r="R33" s="12">
        <f>SUM(R9:R32)</f>
        <v>298217000</v>
      </c>
      <c r="S33" s="12">
        <f>SUM(S9:S32)</f>
        <v>4012740742.16</v>
      </c>
      <c r="U33" s="1"/>
      <c r="V33" s="1"/>
      <c r="W33" s="1"/>
    </row>
    <row r="34" ht="9" customHeight="1"/>
    <row r="35" spans="2:19" ht="12.75" customHeight="1">
      <c r="B35" s="1" t="s">
        <v>23</v>
      </c>
      <c r="C35" s="1">
        <v>67011227</v>
      </c>
      <c r="D35" s="1">
        <v>0</v>
      </c>
      <c r="E35" s="1">
        <v>0</v>
      </c>
      <c r="F35" s="1">
        <f>SUM(C35:E35)</f>
        <v>67011227</v>
      </c>
      <c r="I35" s="1">
        <f>'(B) Base Bud Adj'!W34</f>
        <v>6121623</v>
      </c>
      <c r="M35" s="1">
        <f>'(E) SUF Revenue-310,317'!Y34</f>
        <v>0</v>
      </c>
      <c r="P35" s="1">
        <f>C35+I35</f>
        <v>73132850</v>
      </c>
      <c r="Q35" s="1">
        <f>D35+M35</f>
        <v>0</v>
      </c>
      <c r="R35" s="1">
        <f>E35</f>
        <v>0</v>
      </c>
      <c r="S35" s="1">
        <f>SUM(P35:R35)</f>
        <v>73132850</v>
      </c>
    </row>
    <row r="36" spans="2:19" ht="12.75" customHeight="1">
      <c r="B36" s="11" t="s">
        <v>32</v>
      </c>
      <c r="C36" s="1">
        <v>1244735</v>
      </c>
      <c r="D36" s="1">
        <v>0</v>
      </c>
      <c r="E36" s="1">
        <v>0</v>
      </c>
      <c r="F36" s="1">
        <f>SUM(C36:E36)</f>
        <v>1244735</v>
      </c>
      <c r="I36" s="1">
        <f>'(B) Base Bud Adj'!W35</f>
        <v>-206000</v>
      </c>
      <c r="M36" s="1">
        <f>'(E) SUF Revenue-310,317'!Y35</f>
        <v>591000</v>
      </c>
      <c r="P36" s="1">
        <f>C36+I36</f>
        <v>1038735</v>
      </c>
      <c r="Q36" s="1">
        <f>D36+M36</f>
        <v>591000</v>
      </c>
      <c r="R36" s="1">
        <f>E36</f>
        <v>0</v>
      </c>
      <c r="S36" s="1">
        <f>SUM(P36:R36)</f>
        <v>1629735</v>
      </c>
    </row>
    <row r="37" spans="2:19" ht="12.75" customHeight="1">
      <c r="B37" s="1" t="s">
        <v>24</v>
      </c>
      <c r="C37" s="1">
        <v>2476496</v>
      </c>
      <c r="D37" s="20">
        <v>2324000</v>
      </c>
      <c r="E37" s="1">
        <v>0</v>
      </c>
      <c r="F37" s="1">
        <f>SUM(C37:E37)</f>
        <v>4800496</v>
      </c>
      <c r="I37" s="1">
        <f>'(B) Base Bud Adj'!W36</f>
        <v>-81000</v>
      </c>
      <c r="M37" s="1">
        <f>'(E) SUF Revenue-310,317'!Y36</f>
        <v>305000</v>
      </c>
      <c r="P37" s="1">
        <f>C37+I37</f>
        <v>2395496</v>
      </c>
      <c r="Q37" s="1">
        <f>D37+M37</f>
        <v>2629000</v>
      </c>
      <c r="R37" s="1">
        <f>E37</f>
        <v>0</v>
      </c>
      <c r="S37" s="1">
        <f>SUM(P37:R37)</f>
        <v>5024496</v>
      </c>
    </row>
    <row r="38" spans="2:19" ht="12.75" customHeight="1">
      <c r="B38" s="1" t="s">
        <v>25</v>
      </c>
      <c r="C38" s="1">
        <v>98800</v>
      </c>
      <c r="D38" s="1">
        <v>0</v>
      </c>
      <c r="E38" s="1">
        <v>0</v>
      </c>
      <c r="F38" s="1">
        <f>SUM(C38:E38)</f>
        <v>98800</v>
      </c>
      <c r="I38" s="1">
        <f>'(B) Base Bud Adj'!W37</f>
        <v>-41000</v>
      </c>
      <c r="M38" s="1">
        <f>'(E) SUF Revenue-310,317'!Y37</f>
        <v>413000</v>
      </c>
      <c r="P38" s="1">
        <f>C38+I38</f>
        <v>57800</v>
      </c>
      <c r="Q38" s="1">
        <f>D38+M38</f>
        <v>413000</v>
      </c>
      <c r="R38" s="1">
        <f>E38</f>
        <v>0</v>
      </c>
      <c r="S38" s="1">
        <f>SUM(P38:R38)</f>
        <v>470800</v>
      </c>
    </row>
    <row r="39" spans="2:19" ht="12.75" customHeight="1">
      <c r="B39" s="1" t="s">
        <v>26</v>
      </c>
      <c r="C39" s="1">
        <v>168069601</v>
      </c>
      <c r="D39" s="1">
        <v>0</v>
      </c>
      <c r="E39" s="1">
        <v>2126000</v>
      </c>
      <c r="F39" s="1">
        <f>SUM(C39:E39)</f>
        <v>170195601</v>
      </c>
      <c r="I39" s="1">
        <f>'(B) Base Bud Adj'!W38</f>
        <v>11771932</v>
      </c>
      <c r="K39" s="1">
        <f>'(C) 10-11 Mand Costs-GF Increas'!O38</f>
        <v>365552000</v>
      </c>
      <c r="M39" s="1">
        <f>'(E) SUF Revenue-310,317'!Y38</f>
        <v>0</v>
      </c>
      <c r="O39" s="73"/>
      <c r="P39" s="1">
        <f>C39+I39+K39</f>
        <v>545393533</v>
      </c>
      <c r="Q39" s="1">
        <f>D39+M39</f>
        <v>0</v>
      </c>
      <c r="R39" s="180">
        <v>1000</v>
      </c>
      <c r="S39" s="1">
        <f>SUM(P39:R39)</f>
        <v>545394533</v>
      </c>
    </row>
    <row r="40" ht="9" customHeight="1"/>
    <row r="41" spans="2:19" s="7" customFormat="1" ht="15" customHeight="1" thickBot="1">
      <c r="B41" s="13" t="s">
        <v>27</v>
      </c>
      <c r="C41" s="13">
        <v>2337951649</v>
      </c>
      <c r="D41" s="13">
        <f>SUM(D33:D39)</f>
        <v>1593421000</v>
      </c>
      <c r="E41" s="13">
        <f>SUM(E33:E39)</f>
        <v>300343000</v>
      </c>
      <c r="F41" s="13">
        <f>SUM(F33:F39)</f>
        <v>4231715649</v>
      </c>
      <c r="G41" s="9"/>
      <c r="H41" s="9"/>
      <c r="I41" s="21">
        <f>SUM(I33:I39)</f>
        <v>19930507.16</v>
      </c>
      <c r="J41" s="21"/>
      <c r="K41" s="21">
        <f>SUM(K33:K39)</f>
        <v>365552000</v>
      </c>
      <c r="L41" s="21"/>
      <c r="M41" s="21">
        <f>SUM(M33:M39)</f>
        <v>23320000</v>
      </c>
      <c r="N41" s="21"/>
      <c r="O41" s="9"/>
      <c r="P41" s="13">
        <f>SUM(P33:P39)</f>
        <v>2723434156.16</v>
      </c>
      <c r="Q41" s="13">
        <f>SUM(Q33:Q39)</f>
        <v>1616741000</v>
      </c>
      <c r="R41" s="13">
        <f>SUM(R33:R39)</f>
        <v>298218000</v>
      </c>
      <c r="S41" s="13">
        <f>SUM(S33:S39)</f>
        <v>4638393156.16</v>
      </c>
    </row>
    <row r="43" spans="1:2" ht="18">
      <c r="A43" s="63">
        <v>1</v>
      </c>
      <c r="B43" s="47" t="s">
        <v>154</v>
      </c>
    </row>
    <row r="44" spans="1:19" ht="18">
      <c r="A44" s="63"/>
      <c r="B44" s="31"/>
      <c r="C44" s="29"/>
      <c r="D44" s="29"/>
      <c r="E44" s="29"/>
      <c r="F44" s="29"/>
      <c r="G44" s="64"/>
      <c r="H44" s="64"/>
      <c r="I44" s="65"/>
      <c r="J44" s="65"/>
      <c r="K44" s="65"/>
      <c r="L44" s="65"/>
      <c r="M44" s="65"/>
      <c r="N44" s="65"/>
      <c r="O44" s="64"/>
      <c r="P44" s="29"/>
      <c r="Q44" s="29"/>
      <c r="R44" s="29"/>
      <c r="S44" s="29"/>
    </row>
    <row r="45" spans="3:19" ht="18" customHeight="1">
      <c r="C45" s="176"/>
      <c r="D45" s="176"/>
      <c r="E45" s="176"/>
      <c r="F45" s="176"/>
      <c r="G45" s="176"/>
      <c r="H45" s="176"/>
      <c r="I45" s="176"/>
      <c r="J45" s="176"/>
      <c r="K45" s="176"/>
      <c r="L45" s="176"/>
      <c r="M45" s="176"/>
      <c r="N45" s="176"/>
      <c r="O45" s="176"/>
      <c r="P45" s="176"/>
      <c r="Q45" s="176"/>
      <c r="R45" s="176"/>
      <c r="S45" s="176"/>
    </row>
    <row r="50" ht="12.75">
      <c r="P50" s="121"/>
    </row>
  </sheetData>
  <sheetProtection/>
  <mergeCells count="4">
    <mergeCell ref="C4:F4"/>
    <mergeCell ref="P4:S4"/>
    <mergeCell ref="H4:N4"/>
    <mergeCell ref="I5:K5"/>
  </mergeCells>
  <printOptions horizontalCentered="1"/>
  <pageMargins left="0.25" right="0.25" top="0.5" bottom="0.25" header="0.5" footer="0.5"/>
  <pageSetup fitToHeight="1" fitToWidth="1" horizontalDpi="600" verticalDpi="600" orientation="landscape" paperSize="5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3"/>
  <sheetViews>
    <sheetView zoomScalePageLayoutView="0" workbookViewId="0" topLeftCell="A1">
      <pane xSplit="1" ySplit="5" topLeftCell="G1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P8" sqref="P8"/>
    </sheetView>
  </sheetViews>
  <sheetFormatPr defaultColWidth="9.33203125" defaultRowHeight="12.75"/>
  <cols>
    <col min="1" max="1" width="24.5" style="1" customWidth="1"/>
    <col min="2" max="2" width="16.5" style="1" bestFit="1" customWidth="1"/>
    <col min="3" max="3" width="1.83203125" style="1" customWidth="1"/>
    <col min="4" max="4" width="13.33203125" style="23" bestFit="1" customWidth="1"/>
    <col min="5" max="5" width="1.83203125" style="23" customWidth="1"/>
    <col min="6" max="6" width="17.83203125" style="23" customWidth="1"/>
    <col min="7" max="7" width="1.83203125" style="23" customWidth="1"/>
    <col min="8" max="8" width="16.5" style="23" customWidth="1"/>
    <col min="9" max="9" width="1.83203125" style="23" customWidth="1"/>
    <col min="10" max="10" width="16.5" style="23" customWidth="1"/>
    <col min="11" max="11" width="1.83203125" style="23" customWidth="1"/>
    <col min="12" max="12" width="16.5" style="23" customWidth="1"/>
    <col min="13" max="13" width="2.33203125" style="23" customWidth="1"/>
    <col min="14" max="14" width="16.5" style="23" bestFit="1" customWidth="1"/>
    <col min="15" max="15" width="2.33203125" style="23" customWidth="1"/>
    <col min="16" max="16" width="13.33203125" style="23" bestFit="1" customWidth="1"/>
    <col min="17" max="17" width="2.16015625" style="23" customWidth="1"/>
    <col min="18" max="18" width="16.66015625" style="23" bestFit="1" customWidth="1"/>
    <col min="19" max="19" width="2.33203125" style="23" customWidth="1"/>
    <col min="20" max="20" width="15.66015625" style="23" bestFit="1" customWidth="1"/>
    <col min="21" max="21" width="2.33203125" style="23" customWidth="1"/>
    <col min="22" max="22" width="1.83203125" style="23" customWidth="1"/>
    <col min="23" max="23" width="17.16015625" style="1" bestFit="1" customWidth="1"/>
    <col min="24" max="24" width="1.83203125" style="1" customWidth="1"/>
    <col min="25" max="25" width="18.83203125" style="1" bestFit="1" customWidth="1"/>
    <col min="26" max="26" width="4.33203125" style="1" customWidth="1"/>
    <col min="27" max="27" width="14.5" style="8" bestFit="1" customWidth="1"/>
    <col min="28" max="16384" width="9.33203125" style="1" customWidth="1"/>
  </cols>
  <sheetData>
    <row r="1" spans="1:22" ht="16.5">
      <c r="A1" s="61" t="s">
        <v>145</v>
      </c>
      <c r="B1" s="2"/>
      <c r="C1" s="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80"/>
    </row>
    <row r="2" spans="1:22" ht="15.75">
      <c r="A2" s="164"/>
      <c r="B2" s="2"/>
      <c r="C2" s="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387"/>
      <c r="U2" s="22"/>
      <c r="V2" s="80"/>
    </row>
    <row r="3" spans="2:27" s="66" customFormat="1" ht="14.25">
      <c r="B3" s="67">
        <f>-1</f>
        <v>-1</v>
      </c>
      <c r="D3" s="67">
        <v>-2</v>
      </c>
      <c r="E3" s="67"/>
      <c r="F3" s="67">
        <v>-3</v>
      </c>
      <c r="G3" s="67"/>
      <c r="H3" s="148">
        <f>-4</f>
        <v>-4</v>
      </c>
      <c r="I3" s="148"/>
      <c r="J3" s="149">
        <f>-5</f>
        <v>-5</v>
      </c>
      <c r="K3" s="67"/>
      <c r="L3" s="68">
        <v>-6</v>
      </c>
      <c r="N3" s="67">
        <f>-7</f>
        <v>-7</v>
      </c>
      <c r="O3" s="67"/>
      <c r="P3" s="67">
        <v>-8</v>
      </c>
      <c r="Q3" s="67"/>
      <c r="R3" s="67">
        <v>-9</v>
      </c>
      <c r="S3" s="67"/>
      <c r="T3" s="67">
        <v>-10</v>
      </c>
      <c r="U3" s="67"/>
      <c r="V3" s="67"/>
      <c r="W3" s="67">
        <v>-11</v>
      </c>
      <c r="X3" s="67"/>
      <c r="Y3" s="67">
        <v>-12</v>
      </c>
      <c r="AA3" s="118"/>
    </row>
    <row r="4" spans="2:27" s="24" customFormat="1" ht="6" customHeight="1">
      <c r="B4" s="30"/>
      <c r="D4" s="30"/>
      <c r="E4" s="30"/>
      <c r="F4" s="30"/>
      <c r="G4" s="30"/>
      <c r="H4" s="150"/>
      <c r="I4" s="150"/>
      <c r="J4" s="150"/>
      <c r="K4" s="25"/>
      <c r="L4" s="25"/>
      <c r="M4" s="30"/>
      <c r="N4" s="30"/>
      <c r="O4" s="30"/>
      <c r="P4" s="30"/>
      <c r="Q4" s="30"/>
      <c r="R4" s="30"/>
      <c r="S4" s="30"/>
      <c r="T4" s="30"/>
      <c r="U4" s="30"/>
      <c r="V4" s="30"/>
      <c r="W4" s="81"/>
      <c r="Y4" s="25"/>
      <c r="AA4" s="81"/>
    </row>
    <row r="5" spans="1:27" s="15" customFormat="1" ht="76.5">
      <c r="A5" s="35"/>
      <c r="B5" s="26" t="s">
        <v>49</v>
      </c>
      <c r="C5" s="35"/>
      <c r="D5" s="26" t="s">
        <v>48</v>
      </c>
      <c r="E5" s="35"/>
      <c r="F5" s="36" t="s">
        <v>33</v>
      </c>
      <c r="G5" s="41"/>
      <c r="H5" s="151" t="s">
        <v>70</v>
      </c>
      <c r="I5" s="151"/>
      <c r="J5" s="151" t="s">
        <v>71</v>
      </c>
      <c r="K5" s="26"/>
      <c r="L5" s="255" t="s">
        <v>53</v>
      </c>
      <c r="M5" s="32"/>
      <c r="N5" s="36" t="s">
        <v>68</v>
      </c>
      <c r="O5" s="41"/>
      <c r="P5" s="26" t="s">
        <v>55</v>
      </c>
      <c r="Q5" s="32">
        <v>1</v>
      </c>
      <c r="R5" s="255" t="s">
        <v>141</v>
      </c>
      <c r="S5" s="26"/>
      <c r="T5" s="255" t="s">
        <v>137</v>
      </c>
      <c r="V5" s="69"/>
      <c r="W5" s="142" t="s">
        <v>51</v>
      </c>
      <c r="X5" s="35"/>
      <c r="Y5" s="142" t="s">
        <v>54</v>
      </c>
      <c r="AA5" s="35"/>
    </row>
    <row r="6" spans="1:25" ht="12.75" customHeight="1">
      <c r="A6" s="37"/>
      <c r="B6" s="37"/>
      <c r="C6" s="37"/>
      <c r="D6" s="38"/>
      <c r="E6" s="38"/>
      <c r="F6" s="33" t="s">
        <v>69</v>
      </c>
      <c r="G6" s="39"/>
      <c r="H6" s="152"/>
      <c r="I6" s="152"/>
      <c r="J6" s="152"/>
      <c r="K6" s="39"/>
      <c r="L6" s="39" t="s">
        <v>155</v>
      </c>
      <c r="M6" s="39"/>
      <c r="N6" s="33" t="s">
        <v>50</v>
      </c>
      <c r="O6" s="39"/>
      <c r="P6" s="38"/>
      <c r="Q6" s="38"/>
      <c r="R6" s="18" t="s">
        <v>143</v>
      </c>
      <c r="S6" s="38"/>
      <c r="T6" s="18" t="s">
        <v>142</v>
      </c>
      <c r="U6" s="39"/>
      <c r="V6" s="141"/>
      <c r="W6" s="33" t="s">
        <v>150</v>
      </c>
      <c r="X6" s="37"/>
      <c r="Y6" s="33" t="s">
        <v>151</v>
      </c>
    </row>
    <row r="7" spans="1:25" ht="13.5" customHeight="1">
      <c r="A7" s="37"/>
      <c r="B7" s="37"/>
      <c r="C7" s="37"/>
      <c r="D7" s="38"/>
      <c r="E7" s="38"/>
      <c r="F7" s="33"/>
      <c r="G7" s="39"/>
      <c r="H7" s="152"/>
      <c r="I7" s="152"/>
      <c r="J7" s="152"/>
      <c r="K7" s="39"/>
      <c r="L7" s="39"/>
      <c r="M7" s="39"/>
      <c r="N7" s="33"/>
      <c r="O7" s="39"/>
      <c r="P7" s="38"/>
      <c r="Q7" s="38"/>
      <c r="R7" s="38"/>
      <c r="S7" s="38"/>
      <c r="T7" s="38"/>
      <c r="U7" s="39"/>
      <c r="V7" s="141"/>
      <c r="W7" s="40"/>
      <c r="X7" s="37"/>
      <c r="Y7" s="40"/>
    </row>
    <row r="8" spans="1:27" s="56" customFormat="1" ht="15">
      <c r="A8" s="56" t="s">
        <v>0</v>
      </c>
      <c r="B8" s="51">
        <v>49859822</v>
      </c>
      <c r="C8" s="51"/>
      <c r="D8" s="49">
        <v>135510</v>
      </c>
      <c r="E8" s="51"/>
      <c r="F8" s="57">
        <f aca="true" t="shared" si="0" ref="F8:F30">B8+D8</f>
        <v>49995332</v>
      </c>
      <c r="G8" s="49"/>
      <c r="H8" s="153">
        <v>-10788900</v>
      </c>
      <c r="I8" s="153"/>
      <c r="J8" s="153">
        <v>-9832500</v>
      </c>
      <c r="K8" s="49"/>
      <c r="L8" s="49">
        <f>J8-H8</f>
        <v>956400</v>
      </c>
      <c r="M8" s="49"/>
      <c r="N8" s="57">
        <f>F8+L8</f>
        <v>50951732</v>
      </c>
      <c r="O8" s="49"/>
      <c r="P8" s="56">
        <v>74917</v>
      </c>
      <c r="R8" s="56">
        <f>'(E) SUF Revenue-310,317'!Z8</f>
        <v>-701000</v>
      </c>
      <c r="T8" s="56">
        <f>'(F) SUG'!L8</f>
        <v>788500</v>
      </c>
      <c r="U8" s="49"/>
      <c r="V8" s="49"/>
      <c r="W8" s="70">
        <f>D8+L8+P8+R8+T8</f>
        <v>1254327</v>
      </c>
      <c r="X8" s="51"/>
      <c r="Y8" s="57">
        <f aca="true" t="shared" si="1" ref="Y8:Y30">B8+W8</f>
        <v>51114149</v>
      </c>
      <c r="AA8" s="119"/>
    </row>
    <row r="9" spans="1:27" s="31" customFormat="1" ht="15">
      <c r="A9" s="31" t="s">
        <v>1</v>
      </c>
      <c r="B9" s="47">
        <v>38120853</v>
      </c>
      <c r="C9" s="47"/>
      <c r="D9" s="76">
        <v>101947</v>
      </c>
      <c r="E9" s="47"/>
      <c r="F9" s="58">
        <f t="shared" si="0"/>
        <v>38222800</v>
      </c>
      <c r="G9" s="50"/>
      <c r="H9" s="154">
        <v>-4450200</v>
      </c>
      <c r="I9" s="154"/>
      <c r="J9" s="154">
        <v>-1955800</v>
      </c>
      <c r="K9" s="50"/>
      <c r="L9" s="50">
        <f>J9-H9</f>
        <v>2494400</v>
      </c>
      <c r="M9" s="50"/>
      <c r="N9" s="58">
        <f>F9+L9</f>
        <v>40717200</v>
      </c>
      <c r="O9" s="50"/>
      <c r="R9" s="31">
        <f>'(E) SUF Revenue-310,317'!Z9</f>
        <v>-365000</v>
      </c>
      <c r="T9" s="31">
        <f>'(F) SUG'!L9</f>
        <v>243500</v>
      </c>
      <c r="U9" s="50"/>
      <c r="V9" s="50"/>
      <c r="W9" s="71">
        <f>D9+L9+P9+R9+T9</f>
        <v>2474847</v>
      </c>
      <c r="X9" s="47"/>
      <c r="Y9" s="58">
        <f t="shared" si="1"/>
        <v>40595700</v>
      </c>
      <c r="AA9" s="119"/>
    </row>
    <row r="10" spans="1:27" s="31" customFormat="1" ht="15">
      <c r="A10" s="31" t="s">
        <v>2</v>
      </c>
      <c r="B10" s="47">
        <v>90188102</v>
      </c>
      <c r="C10" s="47"/>
      <c r="D10" s="76">
        <v>296290</v>
      </c>
      <c r="E10" s="47"/>
      <c r="F10" s="58">
        <f>B10+D10</f>
        <v>90484392</v>
      </c>
      <c r="G10" s="50"/>
      <c r="H10" s="154">
        <v>-25568800</v>
      </c>
      <c r="I10" s="154"/>
      <c r="J10" s="154">
        <v>-24790000</v>
      </c>
      <c r="K10" s="50"/>
      <c r="L10" s="50">
        <f aca="true" t="shared" si="2" ref="L10:L30">J10-H10</f>
        <v>778800</v>
      </c>
      <c r="M10" s="50"/>
      <c r="N10" s="58">
        <f aca="true" t="shared" si="3" ref="N10:N30">F10+L10</f>
        <v>91263192</v>
      </c>
      <c r="O10" s="50"/>
      <c r="R10" s="31">
        <f>'(E) SUF Revenue-310,317'!Z10</f>
        <v>-867000</v>
      </c>
      <c r="T10" s="31">
        <f>'(F) SUG'!L10</f>
        <v>962400</v>
      </c>
      <c r="U10" s="50"/>
      <c r="V10" s="50"/>
      <c r="W10" s="71">
        <f aca="true" t="shared" si="4" ref="W10:W30">D10+L10+P10+R10+T10</f>
        <v>1170490</v>
      </c>
      <c r="X10" s="47"/>
      <c r="Y10" s="58">
        <f t="shared" si="1"/>
        <v>91358592</v>
      </c>
      <c r="AA10" s="119"/>
    </row>
    <row r="11" spans="1:27" s="31" customFormat="1" ht="15">
      <c r="A11" s="31" t="s">
        <v>3</v>
      </c>
      <c r="B11" s="47">
        <v>61273282</v>
      </c>
      <c r="C11" s="47"/>
      <c r="D11" s="76">
        <v>177050</v>
      </c>
      <c r="E11" s="47"/>
      <c r="F11" s="58">
        <f t="shared" si="0"/>
        <v>61450332</v>
      </c>
      <c r="G11" s="50"/>
      <c r="H11" s="154">
        <v>-13035000</v>
      </c>
      <c r="I11" s="154"/>
      <c r="J11" s="154">
        <v>-12678100</v>
      </c>
      <c r="K11" s="50"/>
      <c r="L11" s="50">
        <f t="shared" si="2"/>
        <v>356900</v>
      </c>
      <c r="M11" s="50"/>
      <c r="N11" s="58">
        <f t="shared" si="3"/>
        <v>61807232</v>
      </c>
      <c r="O11" s="50"/>
      <c r="R11" s="31">
        <f>'(E) SUF Revenue-310,317'!Z11</f>
        <v>-1303000</v>
      </c>
      <c r="T11" s="31">
        <f>'(F) SUG'!L11</f>
        <v>1134100</v>
      </c>
      <c r="U11" s="50"/>
      <c r="V11" s="50"/>
      <c r="W11" s="71">
        <f t="shared" si="4"/>
        <v>365050</v>
      </c>
      <c r="X11" s="47"/>
      <c r="Y11" s="58">
        <f t="shared" si="1"/>
        <v>61638332</v>
      </c>
      <c r="AA11" s="119"/>
    </row>
    <row r="12" spans="1:27" s="31" customFormat="1" ht="15">
      <c r="A12" s="31" t="s">
        <v>29</v>
      </c>
      <c r="B12" s="47">
        <v>67857621</v>
      </c>
      <c r="C12" s="47"/>
      <c r="D12" s="76">
        <v>261790</v>
      </c>
      <c r="E12" s="47"/>
      <c r="F12" s="58">
        <f t="shared" si="0"/>
        <v>68119411</v>
      </c>
      <c r="G12" s="50"/>
      <c r="H12" s="154">
        <v>-19623100</v>
      </c>
      <c r="I12" s="154"/>
      <c r="J12" s="154">
        <v>-19562000</v>
      </c>
      <c r="K12" s="50"/>
      <c r="L12" s="50">
        <f t="shared" si="2"/>
        <v>61100</v>
      </c>
      <c r="M12" s="50"/>
      <c r="N12" s="58">
        <f t="shared" si="3"/>
        <v>68180511</v>
      </c>
      <c r="O12" s="50"/>
      <c r="R12" s="31">
        <f>'(E) SUF Revenue-310,317'!Z12</f>
        <v>-1190000</v>
      </c>
      <c r="T12" s="31">
        <f>'(F) SUG'!L12</f>
        <v>1186300</v>
      </c>
      <c r="U12" s="50"/>
      <c r="V12" s="50"/>
      <c r="W12" s="71">
        <f t="shared" si="4"/>
        <v>319190</v>
      </c>
      <c r="X12" s="47"/>
      <c r="Y12" s="58">
        <f t="shared" si="1"/>
        <v>68176811</v>
      </c>
      <c r="AA12" s="119"/>
    </row>
    <row r="13" spans="1:27" s="31" customFormat="1" ht="15">
      <c r="A13" s="31" t="s">
        <v>4</v>
      </c>
      <c r="B13" s="47">
        <v>118055402</v>
      </c>
      <c r="C13" s="47"/>
      <c r="D13" s="76">
        <v>366250</v>
      </c>
      <c r="E13" s="47"/>
      <c r="F13" s="58">
        <f t="shared" si="0"/>
        <v>118421652</v>
      </c>
      <c r="G13" s="50"/>
      <c r="H13" s="154">
        <v>-32636200</v>
      </c>
      <c r="I13" s="154"/>
      <c r="J13" s="154">
        <v>-31018600</v>
      </c>
      <c r="K13" s="50"/>
      <c r="L13" s="50">
        <f t="shared" si="2"/>
        <v>1617600</v>
      </c>
      <c r="M13" s="50"/>
      <c r="N13" s="58">
        <f t="shared" si="3"/>
        <v>120039252</v>
      </c>
      <c r="O13" s="50"/>
      <c r="R13" s="31">
        <f>'(E) SUF Revenue-310,317'!Z13</f>
        <v>-1229000</v>
      </c>
      <c r="T13" s="31">
        <f>'(F) SUG'!L13</f>
        <v>1685400</v>
      </c>
      <c r="U13" s="50"/>
      <c r="V13" s="50"/>
      <c r="W13" s="71">
        <f t="shared" si="4"/>
        <v>2440250</v>
      </c>
      <c r="X13" s="47"/>
      <c r="Y13" s="58">
        <f t="shared" si="1"/>
        <v>120495652</v>
      </c>
      <c r="AA13" s="119"/>
    </row>
    <row r="14" spans="1:27" s="31" customFormat="1" ht="15">
      <c r="A14" s="31" t="s">
        <v>5</v>
      </c>
      <c r="B14" s="47">
        <v>136371537</v>
      </c>
      <c r="C14" s="47"/>
      <c r="D14" s="76">
        <v>484950</v>
      </c>
      <c r="E14" s="47"/>
      <c r="F14" s="58">
        <f t="shared" si="0"/>
        <v>136856487</v>
      </c>
      <c r="G14" s="50"/>
      <c r="H14" s="154">
        <v>-38803800</v>
      </c>
      <c r="I14" s="154"/>
      <c r="J14" s="154">
        <v>-44259700</v>
      </c>
      <c r="K14" s="50"/>
      <c r="L14" s="50">
        <f t="shared" si="2"/>
        <v>-5455900</v>
      </c>
      <c r="M14" s="50"/>
      <c r="N14" s="58">
        <f t="shared" si="3"/>
        <v>131400587</v>
      </c>
      <c r="O14" s="50"/>
      <c r="R14" s="31">
        <f>'(E) SUF Revenue-310,317'!Z14</f>
        <v>-2450000</v>
      </c>
      <c r="T14" s="31">
        <f>'(F) SUG'!L14</f>
        <v>2188800</v>
      </c>
      <c r="U14" s="50"/>
      <c r="V14" s="50"/>
      <c r="W14" s="71">
        <f t="shared" si="4"/>
        <v>-5232150</v>
      </c>
      <c r="X14" s="47"/>
      <c r="Y14" s="58">
        <f t="shared" si="1"/>
        <v>131139387</v>
      </c>
      <c r="AA14" s="119"/>
    </row>
    <row r="15" spans="1:27" s="31" customFormat="1" ht="15">
      <c r="A15" s="31" t="s">
        <v>6</v>
      </c>
      <c r="B15" s="47">
        <v>62436110</v>
      </c>
      <c r="C15" s="47"/>
      <c r="D15" s="76">
        <v>179590</v>
      </c>
      <c r="E15" s="47"/>
      <c r="F15" s="58">
        <f t="shared" si="0"/>
        <v>62615700</v>
      </c>
      <c r="G15" s="50"/>
      <c r="H15" s="154">
        <v>-12110600</v>
      </c>
      <c r="I15" s="154"/>
      <c r="J15" s="154">
        <v>-9838200</v>
      </c>
      <c r="K15" s="50"/>
      <c r="L15" s="50">
        <f t="shared" si="2"/>
        <v>2272400</v>
      </c>
      <c r="M15" s="50"/>
      <c r="N15" s="58">
        <f t="shared" si="3"/>
        <v>64888100</v>
      </c>
      <c r="O15" s="50"/>
      <c r="R15" s="31">
        <f>'(E) SUF Revenue-310,317'!Z15</f>
        <v>-643000</v>
      </c>
      <c r="T15" s="31">
        <f>'(F) SUG'!L15</f>
        <v>820300</v>
      </c>
      <c r="U15" s="50"/>
      <c r="V15" s="50"/>
      <c r="W15" s="71">
        <f t="shared" si="4"/>
        <v>2629290</v>
      </c>
      <c r="X15" s="47"/>
      <c r="Y15" s="58">
        <f t="shared" si="1"/>
        <v>65065400</v>
      </c>
      <c r="AA15" s="119"/>
    </row>
    <row r="16" spans="1:27" s="31" customFormat="1" ht="15">
      <c r="A16" s="31" t="s">
        <v>7</v>
      </c>
      <c r="B16" s="47">
        <v>154573278</v>
      </c>
      <c r="C16" s="47"/>
      <c r="D16" s="76">
        <v>611700</v>
      </c>
      <c r="E16" s="47"/>
      <c r="F16" s="58">
        <f t="shared" si="0"/>
        <v>155184978</v>
      </c>
      <c r="G16" s="50"/>
      <c r="H16" s="154">
        <v>-44076600</v>
      </c>
      <c r="I16" s="154"/>
      <c r="J16" s="154">
        <v>-47964000</v>
      </c>
      <c r="K16" s="50"/>
      <c r="L16" s="50">
        <f t="shared" si="2"/>
        <v>-3887400</v>
      </c>
      <c r="M16" s="50"/>
      <c r="N16" s="58">
        <f t="shared" si="3"/>
        <v>151297578</v>
      </c>
      <c r="O16" s="50"/>
      <c r="P16" s="31">
        <f>5952*1.3925</f>
        <v>8288.16</v>
      </c>
      <c r="R16" s="31">
        <f>'(E) SUF Revenue-310,317'!Z16</f>
        <v>-2208000</v>
      </c>
      <c r="T16" s="31">
        <f>'(F) SUG'!L16</f>
        <v>2203800</v>
      </c>
      <c r="U16" s="50"/>
      <c r="V16" s="50"/>
      <c r="W16" s="71">
        <f t="shared" si="4"/>
        <v>-3271611.84</v>
      </c>
      <c r="X16" s="47"/>
      <c r="Y16" s="58">
        <f t="shared" si="1"/>
        <v>151301666.16</v>
      </c>
      <c r="AA16" s="119"/>
    </row>
    <row r="17" spans="1:27" s="31" customFormat="1" ht="15">
      <c r="A17" s="31" t="s">
        <v>8</v>
      </c>
      <c r="B17" s="47">
        <v>103587079</v>
      </c>
      <c r="C17" s="47"/>
      <c r="D17" s="76">
        <v>344400</v>
      </c>
      <c r="E17" s="47"/>
      <c r="F17" s="58">
        <f t="shared" si="0"/>
        <v>103931479</v>
      </c>
      <c r="G17" s="50"/>
      <c r="H17" s="154">
        <v>-28997500</v>
      </c>
      <c r="I17" s="154"/>
      <c r="J17" s="154">
        <v>-28464700</v>
      </c>
      <c r="K17" s="50"/>
      <c r="L17" s="50">
        <f t="shared" si="2"/>
        <v>532800</v>
      </c>
      <c r="M17" s="50"/>
      <c r="N17" s="58">
        <f t="shared" si="3"/>
        <v>104464279</v>
      </c>
      <c r="O17" s="50"/>
      <c r="R17" s="31">
        <f>'(E) SUF Revenue-310,317'!Z17</f>
        <v>-1905000</v>
      </c>
      <c r="T17" s="31">
        <f>'(F) SUG'!L17</f>
        <v>2213500</v>
      </c>
      <c r="U17" s="50"/>
      <c r="V17" s="50"/>
      <c r="W17" s="71">
        <f t="shared" si="4"/>
        <v>1185700</v>
      </c>
      <c r="X17" s="47"/>
      <c r="Y17" s="58">
        <f t="shared" si="1"/>
        <v>104772779</v>
      </c>
      <c r="AA17" s="119"/>
    </row>
    <row r="18" spans="1:27" s="31" customFormat="1" ht="15">
      <c r="A18" s="31" t="s">
        <v>9</v>
      </c>
      <c r="B18" s="47">
        <v>16472011</v>
      </c>
      <c r="C18" s="47"/>
      <c r="D18" s="76">
        <v>40810</v>
      </c>
      <c r="E18" s="47"/>
      <c r="F18" s="58">
        <f t="shared" si="0"/>
        <v>16512821</v>
      </c>
      <c r="G18" s="50"/>
      <c r="H18" s="154">
        <v>-1972300</v>
      </c>
      <c r="I18" s="154"/>
      <c r="J18" s="154">
        <v>-738000</v>
      </c>
      <c r="K18" s="50"/>
      <c r="L18" s="50">
        <f t="shared" si="2"/>
        <v>1234300</v>
      </c>
      <c r="M18" s="50"/>
      <c r="N18" s="58">
        <f t="shared" si="3"/>
        <v>17747121</v>
      </c>
      <c r="O18" s="50"/>
      <c r="R18" s="31">
        <f>'(E) SUF Revenue-310,317'!Z18</f>
        <v>-95000</v>
      </c>
      <c r="T18" s="31">
        <f>'(F) SUG'!L18</f>
        <v>236700</v>
      </c>
      <c r="U18" s="50"/>
      <c r="V18" s="50"/>
      <c r="W18" s="71">
        <f t="shared" si="4"/>
        <v>1416810</v>
      </c>
      <c r="X18" s="47"/>
      <c r="Y18" s="58">
        <f t="shared" si="1"/>
        <v>17888821</v>
      </c>
      <c r="AA18" s="119"/>
    </row>
    <row r="19" spans="1:27" s="31" customFormat="1" ht="15">
      <c r="A19" s="31" t="s">
        <v>10</v>
      </c>
      <c r="B19" s="47">
        <v>46061803</v>
      </c>
      <c r="C19" s="47"/>
      <c r="D19" s="76">
        <v>114420</v>
      </c>
      <c r="E19" s="47"/>
      <c r="F19" s="58">
        <f t="shared" si="0"/>
        <v>46176223</v>
      </c>
      <c r="G19" s="50"/>
      <c r="H19" s="154">
        <v>-5978300</v>
      </c>
      <c r="I19" s="154"/>
      <c r="J19" s="154">
        <v>-3410400</v>
      </c>
      <c r="K19" s="50"/>
      <c r="L19" s="50">
        <f t="shared" si="2"/>
        <v>2567900</v>
      </c>
      <c r="M19" s="50"/>
      <c r="N19" s="58">
        <f t="shared" si="3"/>
        <v>48744123</v>
      </c>
      <c r="O19" s="50"/>
      <c r="R19" s="31">
        <f>'(E) SUF Revenue-310,317'!Z19</f>
        <v>-530000</v>
      </c>
      <c r="T19" s="31">
        <f>'(F) SUG'!L19</f>
        <v>364500</v>
      </c>
      <c r="U19" s="50"/>
      <c r="V19" s="50"/>
      <c r="W19" s="71">
        <f t="shared" si="4"/>
        <v>2516820</v>
      </c>
      <c r="X19" s="47"/>
      <c r="Y19" s="58">
        <f t="shared" si="1"/>
        <v>48578623</v>
      </c>
      <c r="AA19" s="119"/>
    </row>
    <row r="20" spans="1:27" s="31" customFormat="1" ht="15">
      <c r="A20" s="31" t="s">
        <v>11</v>
      </c>
      <c r="B20" s="47">
        <v>148718316</v>
      </c>
      <c r="C20" s="47"/>
      <c r="D20" s="76">
        <v>534000</v>
      </c>
      <c r="E20" s="47"/>
      <c r="F20" s="58">
        <f t="shared" si="0"/>
        <v>149252316</v>
      </c>
      <c r="G20" s="50"/>
      <c r="H20" s="154">
        <v>-42339600</v>
      </c>
      <c r="I20" s="154"/>
      <c r="J20" s="154">
        <v>-45039200</v>
      </c>
      <c r="K20" s="50"/>
      <c r="L20" s="50">
        <f t="shared" si="2"/>
        <v>-2699600</v>
      </c>
      <c r="M20" s="50"/>
      <c r="N20" s="58">
        <f t="shared" si="3"/>
        <v>146552716</v>
      </c>
      <c r="O20" s="50"/>
      <c r="R20" s="31">
        <f>'(E) SUF Revenue-310,317'!Z20</f>
        <v>-2229000</v>
      </c>
      <c r="T20" s="31">
        <f>'(F) SUG'!L20</f>
        <v>2625600</v>
      </c>
      <c r="U20" s="50"/>
      <c r="V20" s="50"/>
      <c r="W20" s="71">
        <f t="shared" si="4"/>
        <v>-1769000</v>
      </c>
      <c r="X20" s="47"/>
      <c r="Y20" s="58">
        <f t="shared" si="1"/>
        <v>146949316</v>
      </c>
      <c r="AA20" s="119"/>
    </row>
    <row r="21" spans="1:27" s="31" customFormat="1" ht="15">
      <c r="A21" s="31" t="s">
        <v>12</v>
      </c>
      <c r="B21" s="47">
        <v>110101122</v>
      </c>
      <c r="C21" s="47"/>
      <c r="D21" s="76">
        <v>384560</v>
      </c>
      <c r="E21" s="47"/>
      <c r="F21" s="58">
        <f t="shared" si="0"/>
        <v>110485682</v>
      </c>
      <c r="G21" s="50"/>
      <c r="H21" s="154">
        <v>-31279300</v>
      </c>
      <c r="I21" s="154"/>
      <c r="J21" s="154">
        <v>-30258400</v>
      </c>
      <c r="K21" s="50"/>
      <c r="L21" s="50">
        <f t="shared" si="2"/>
        <v>1020900</v>
      </c>
      <c r="M21" s="50"/>
      <c r="N21" s="58">
        <f t="shared" si="3"/>
        <v>111506582</v>
      </c>
      <c r="O21" s="50"/>
      <c r="R21" s="31">
        <f>'(E) SUF Revenue-310,317'!Z21</f>
        <v>-1599000</v>
      </c>
      <c r="T21" s="31">
        <f>'(F) SUG'!L21</f>
        <v>1330100</v>
      </c>
      <c r="U21" s="50"/>
      <c r="V21" s="50"/>
      <c r="W21" s="71">
        <f t="shared" si="4"/>
        <v>1136560</v>
      </c>
      <c r="X21" s="47"/>
      <c r="Y21" s="58">
        <f t="shared" si="1"/>
        <v>111237682</v>
      </c>
      <c r="AA21" s="119"/>
    </row>
    <row r="22" spans="1:27" s="31" customFormat="1" ht="15">
      <c r="A22" s="31" t="s">
        <v>13</v>
      </c>
      <c r="B22" s="47">
        <v>126087817</v>
      </c>
      <c r="C22" s="47"/>
      <c r="D22" s="76">
        <v>459830</v>
      </c>
      <c r="E22" s="47"/>
      <c r="F22" s="58">
        <f t="shared" si="0"/>
        <v>126547647</v>
      </c>
      <c r="G22" s="50"/>
      <c r="H22" s="154">
        <v>-35313600</v>
      </c>
      <c r="I22" s="154"/>
      <c r="J22" s="154">
        <v>-38596100</v>
      </c>
      <c r="K22" s="50"/>
      <c r="L22" s="50">
        <f t="shared" si="2"/>
        <v>-3282500</v>
      </c>
      <c r="M22" s="50"/>
      <c r="N22" s="58">
        <f t="shared" si="3"/>
        <v>123265147</v>
      </c>
      <c r="O22" s="50"/>
      <c r="R22" s="31">
        <f>'(E) SUF Revenue-310,317'!Z22</f>
        <v>-1379000</v>
      </c>
      <c r="T22" s="31">
        <f>'(F) SUG'!L22</f>
        <v>1787400</v>
      </c>
      <c r="U22" s="50"/>
      <c r="V22" s="50"/>
      <c r="W22" s="71">
        <f t="shared" si="4"/>
        <v>-2414270</v>
      </c>
      <c r="X22" s="47"/>
      <c r="Y22" s="58">
        <f t="shared" si="1"/>
        <v>123673547</v>
      </c>
      <c r="AA22" s="119"/>
    </row>
    <row r="23" spans="1:27" s="31" customFormat="1" ht="15">
      <c r="A23" s="31" t="s">
        <v>14</v>
      </c>
      <c r="B23" s="47">
        <v>83133458</v>
      </c>
      <c r="C23" s="47"/>
      <c r="D23" s="76">
        <v>262490</v>
      </c>
      <c r="E23" s="47"/>
      <c r="F23" s="58">
        <f t="shared" si="0"/>
        <v>83395948</v>
      </c>
      <c r="G23" s="50"/>
      <c r="H23" s="154">
        <v>-23009600</v>
      </c>
      <c r="I23" s="154"/>
      <c r="J23" s="154">
        <v>-23186400</v>
      </c>
      <c r="K23" s="50"/>
      <c r="L23" s="50">
        <f t="shared" si="2"/>
        <v>-176800</v>
      </c>
      <c r="M23" s="50"/>
      <c r="N23" s="58">
        <f t="shared" si="3"/>
        <v>83219148</v>
      </c>
      <c r="O23" s="50"/>
      <c r="R23" s="31">
        <f>'(E) SUF Revenue-310,317'!Z23</f>
        <v>-1341000</v>
      </c>
      <c r="T23" s="31">
        <f>'(F) SUG'!L23</f>
        <v>1878700</v>
      </c>
      <c r="U23" s="50"/>
      <c r="V23" s="50"/>
      <c r="W23" s="71">
        <f t="shared" si="4"/>
        <v>623390</v>
      </c>
      <c r="X23" s="47"/>
      <c r="Y23" s="58">
        <f t="shared" si="1"/>
        <v>83756848</v>
      </c>
      <c r="AA23" s="119"/>
    </row>
    <row r="24" spans="1:27" s="31" customFormat="1" ht="15">
      <c r="A24" s="31" t="s">
        <v>15</v>
      </c>
      <c r="B24" s="47">
        <v>166107116</v>
      </c>
      <c r="C24" s="47"/>
      <c r="D24" s="76">
        <v>608770</v>
      </c>
      <c r="E24" s="47"/>
      <c r="F24" s="58">
        <f t="shared" si="0"/>
        <v>166715886</v>
      </c>
      <c r="G24" s="50"/>
      <c r="H24" s="154">
        <v>-47825500</v>
      </c>
      <c r="I24" s="154"/>
      <c r="J24" s="154">
        <v>-50208400</v>
      </c>
      <c r="K24" s="50"/>
      <c r="L24" s="50">
        <f t="shared" si="2"/>
        <v>-2382900</v>
      </c>
      <c r="M24" s="50"/>
      <c r="N24" s="58">
        <f t="shared" si="3"/>
        <v>164332986</v>
      </c>
      <c r="O24" s="50"/>
      <c r="R24" s="31">
        <f>'(E) SUF Revenue-310,317'!Z24</f>
        <v>-2078000</v>
      </c>
      <c r="T24" s="31">
        <f>'(F) SUG'!L24</f>
        <v>1689500</v>
      </c>
      <c r="U24" s="50"/>
      <c r="V24" s="144"/>
      <c r="W24" s="71">
        <f t="shared" si="4"/>
        <v>-2162630</v>
      </c>
      <c r="X24" s="47"/>
      <c r="Y24" s="58">
        <f t="shared" si="1"/>
        <v>163944486</v>
      </c>
      <c r="AA24" s="119"/>
    </row>
    <row r="25" spans="1:27" s="31" customFormat="1" ht="15">
      <c r="A25" s="31" t="s">
        <v>16</v>
      </c>
      <c r="B25" s="47">
        <v>128676149</v>
      </c>
      <c r="C25" s="47"/>
      <c r="D25" s="76">
        <v>496290</v>
      </c>
      <c r="E25" s="47"/>
      <c r="F25" s="58">
        <f t="shared" si="0"/>
        <v>129172439</v>
      </c>
      <c r="G25" s="50"/>
      <c r="H25" s="154">
        <v>-37158300</v>
      </c>
      <c r="I25" s="154"/>
      <c r="J25" s="154">
        <v>-40393400</v>
      </c>
      <c r="K25" s="50"/>
      <c r="L25" s="50">
        <f t="shared" si="2"/>
        <v>-3235100</v>
      </c>
      <c r="M25" s="50"/>
      <c r="N25" s="58">
        <f t="shared" si="3"/>
        <v>125937339</v>
      </c>
      <c r="O25" s="50"/>
      <c r="R25" s="31">
        <f>'(E) SUF Revenue-310,317'!Z25</f>
        <v>-1993000</v>
      </c>
      <c r="T25" s="31">
        <f>'(F) SUG'!L25</f>
        <v>2059900</v>
      </c>
      <c r="U25" s="50"/>
      <c r="V25" s="50"/>
      <c r="W25" s="71">
        <f t="shared" si="4"/>
        <v>-2671910</v>
      </c>
      <c r="X25" s="47"/>
      <c r="Y25" s="58">
        <f t="shared" si="1"/>
        <v>126004239</v>
      </c>
      <c r="AA25" s="119"/>
    </row>
    <row r="26" spans="1:27" s="31" customFormat="1" ht="15">
      <c r="A26" s="31" t="s">
        <v>17</v>
      </c>
      <c r="B26" s="47">
        <v>125111472</v>
      </c>
      <c r="C26" s="47"/>
      <c r="D26" s="76">
        <v>527860</v>
      </c>
      <c r="E26" s="47"/>
      <c r="F26" s="58">
        <f t="shared" si="0"/>
        <v>125639332</v>
      </c>
      <c r="G26" s="50"/>
      <c r="H26" s="154">
        <v>-36790700</v>
      </c>
      <c r="I26" s="154"/>
      <c r="J26" s="154">
        <v>-39453200</v>
      </c>
      <c r="K26" s="50"/>
      <c r="L26" s="50">
        <f t="shared" si="2"/>
        <v>-2662500</v>
      </c>
      <c r="M26" s="50"/>
      <c r="N26" s="58">
        <f t="shared" si="3"/>
        <v>122976832</v>
      </c>
      <c r="O26" s="50"/>
      <c r="R26" s="31">
        <f>'(E) SUF Revenue-310,317'!Z26</f>
        <v>-1883000</v>
      </c>
      <c r="T26" s="31">
        <f>'(F) SUG'!L26</f>
        <v>1955600</v>
      </c>
      <c r="U26" s="50"/>
      <c r="V26" s="50"/>
      <c r="W26" s="71">
        <f t="shared" si="4"/>
        <v>-2062040</v>
      </c>
      <c r="X26" s="47"/>
      <c r="Y26" s="58">
        <f t="shared" si="1"/>
        <v>123049432</v>
      </c>
      <c r="AA26" s="119"/>
    </row>
    <row r="27" spans="1:27" s="31" customFormat="1" ht="15">
      <c r="A27" s="31" t="s">
        <v>18</v>
      </c>
      <c r="B27" s="47">
        <v>110289288</v>
      </c>
      <c r="C27" s="47"/>
      <c r="D27" s="76">
        <v>426220</v>
      </c>
      <c r="E27" s="47"/>
      <c r="F27" s="58">
        <f t="shared" si="0"/>
        <v>110715508</v>
      </c>
      <c r="G27" s="50"/>
      <c r="H27" s="154">
        <v>-31755400</v>
      </c>
      <c r="I27" s="154"/>
      <c r="J27" s="154">
        <v>-30123000</v>
      </c>
      <c r="K27" s="50"/>
      <c r="L27" s="50">
        <f t="shared" si="2"/>
        <v>1632400</v>
      </c>
      <c r="M27" s="50"/>
      <c r="N27" s="58">
        <f t="shared" si="3"/>
        <v>112347908</v>
      </c>
      <c r="O27" s="50"/>
      <c r="R27" s="31">
        <f>'(E) SUF Revenue-310,317'!Z27</f>
        <v>-1221000</v>
      </c>
      <c r="T27" s="31">
        <f>'(F) SUG'!L27</f>
        <v>694400</v>
      </c>
      <c r="U27" s="50"/>
      <c r="V27" s="50"/>
      <c r="W27" s="71">
        <f t="shared" si="4"/>
        <v>1532020</v>
      </c>
      <c r="X27" s="47"/>
      <c r="Y27" s="58">
        <f t="shared" si="1"/>
        <v>111821308</v>
      </c>
      <c r="AA27" s="119"/>
    </row>
    <row r="28" spans="1:27" s="31" customFormat="1" ht="15">
      <c r="A28" s="31" t="s">
        <v>19</v>
      </c>
      <c r="B28" s="47">
        <v>53536642</v>
      </c>
      <c r="C28" s="47"/>
      <c r="D28" s="76">
        <v>158220</v>
      </c>
      <c r="E28" s="47"/>
      <c r="F28" s="58">
        <f t="shared" si="0"/>
        <v>53694862</v>
      </c>
      <c r="G28" s="50"/>
      <c r="H28" s="154">
        <v>-11870100</v>
      </c>
      <c r="I28" s="154"/>
      <c r="J28" s="154">
        <v>-10672300</v>
      </c>
      <c r="K28" s="50"/>
      <c r="L28" s="50">
        <f t="shared" si="2"/>
        <v>1197800</v>
      </c>
      <c r="M28" s="50"/>
      <c r="N28" s="58">
        <f t="shared" si="3"/>
        <v>54892662</v>
      </c>
      <c r="O28" s="50"/>
      <c r="R28" s="31">
        <f>'(E) SUF Revenue-310,317'!Z28</f>
        <v>-812000</v>
      </c>
      <c r="T28" s="31">
        <f>'(F) SUG'!L28</f>
        <v>686400</v>
      </c>
      <c r="U28" s="50"/>
      <c r="V28" s="50"/>
      <c r="W28" s="71">
        <f t="shared" si="4"/>
        <v>1230420</v>
      </c>
      <c r="X28" s="47"/>
      <c r="Y28" s="58">
        <f t="shared" si="1"/>
        <v>54767062</v>
      </c>
      <c r="AA28" s="119"/>
    </row>
    <row r="29" spans="1:27" s="31" customFormat="1" ht="15">
      <c r="A29" s="31" t="s">
        <v>20</v>
      </c>
      <c r="B29" s="47">
        <v>51085673</v>
      </c>
      <c r="C29" s="47"/>
      <c r="D29" s="76">
        <v>168330</v>
      </c>
      <c r="E29" s="47"/>
      <c r="F29" s="58">
        <f t="shared" si="0"/>
        <v>51254003</v>
      </c>
      <c r="G29" s="50"/>
      <c r="H29" s="154">
        <v>-11156200</v>
      </c>
      <c r="I29" s="154"/>
      <c r="J29" s="154">
        <v>-10407500</v>
      </c>
      <c r="K29" s="50"/>
      <c r="L29" s="50">
        <f t="shared" si="2"/>
        <v>748700</v>
      </c>
      <c r="M29" s="50"/>
      <c r="N29" s="58">
        <f t="shared" si="3"/>
        <v>52002703</v>
      </c>
      <c r="O29" s="50"/>
      <c r="R29" s="31">
        <f>'(E) SUF Revenue-310,317'!Z29</f>
        <v>-693000</v>
      </c>
      <c r="T29" s="31">
        <f>'(F) SUG'!L29</f>
        <v>441100</v>
      </c>
      <c r="U29" s="50"/>
      <c r="V29" s="50"/>
      <c r="W29" s="71">
        <f t="shared" si="4"/>
        <v>665130</v>
      </c>
      <c r="X29" s="47"/>
      <c r="Y29" s="58">
        <f t="shared" si="1"/>
        <v>51750803</v>
      </c>
      <c r="AA29" s="119"/>
    </row>
    <row r="30" spans="1:27" s="31" customFormat="1" ht="15">
      <c r="A30" s="31" t="s">
        <v>21</v>
      </c>
      <c r="B30" s="47">
        <v>51346837</v>
      </c>
      <c r="C30" s="47"/>
      <c r="D30" s="76">
        <v>147270</v>
      </c>
      <c r="E30" s="47"/>
      <c r="F30" s="58">
        <f t="shared" si="0"/>
        <v>51494107</v>
      </c>
      <c r="G30" s="50"/>
      <c r="H30" s="154">
        <v>-11020400</v>
      </c>
      <c r="I30" s="154"/>
      <c r="J30" s="154">
        <v>-10044900</v>
      </c>
      <c r="K30" s="50"/>
      <c r="L30" s="50">
        <f t="shared" si="2"/>
        <v>975500</v>
      </c>
      <c r="M30" s="50"/>
      <c r="N30" s="58">
        <f t="shared" si="3"/>
        <v>52469607</v>
      </c>
      <c r="O30" s="50"/>
      <c r="R30" s="31">
        <f>'(E) SUF Revenue-310,317'!Z30</f>
        <v>-917000</v>
      </c>
      <c r="T30" s="31">
        <f>'(F) SUG'!L30</f>
        <v>782500</v>
      </c>
      <c r="U30" s="50"/>
      <c r="V30" s="50"/>
      <c r="W30" s="71">
        <f t="shared" si="4"/>
        <v>988270</v>
      </c>
      <c r="X30" s="47"/>
      <c r="Y30" s="58">
        <f t="shared" si="1"/>
        <v>52335107</v>
      </c>
      <c r="AA30" s="119"/>
    </row>
    <row r="31" spans="2:27" s="31" customFormat="1" ht="9" customHeight="1">
      <c r="B31" s="47"/>
      <c r="C31" s="47"/>
      <c r="D31" s="47"/>
      <c r="E31" s="47"/>
      <c r="F31" s="58"/>
      <c r="G31" s="50"/>
      <c r="H31" s="154"/>
      <c r="I31" s="154"/>
      <c r="J31" s="154"/>
      <c r="K31" s="50"/>
      <c r="L31" s="50"/>
      <c r="M31" s="50"/>
      <c r="N31" s="58"/>
      <c r="O31" s="50"/>
      <c r="P31" s="50"/>
      <c r="Q31" s="50"/>
      <c r="R31" s="50"/>
      <c r="S31" s="50"/>
      <c r="T31" s="50"/>
      <c r="U31" s="50"/>
      <c r="V31" s="50"/>
      <c r="W31" s="71"/>
      <c r="X31" s="47"/>
      <c r="Y31" s="58"/>
      <c r="AA31" s="120"/>
    </row>
    <row r="32" spans="1:27" s="56" customFormat="1" ht="15" customHeight="1">
      <c r="A32" s="43" t="s">
        <v>22</v>
      </c>
      <c r="B32" s="48">
        <v>2099050790</v>
      </c>
      <c r="C32" s="48"/>
      <c r="D32" s="48">
        <f>SUM(D8:D31)</f>
        <v>7288547</v>
      </c>
      <c r="E32" s="48"/>
      <c r="F32" s="59">
        <f>SUM(F8:F31)</f>
        <v>2106339337</v>
      </c>
      <c r="G32" s="48"/>
      <c r="H32" s="155">
        <v>-557560000</v>
      </c>
      <c r="I32" s="155"/>
      <c r="J32" s="155">
        <v>-562894800</v>
      </c>
      <c r="K32" s="48"/>
      <c r="L32" s="48">
        <f>SUM(L8:L31)</f>
        <v>-5334800</v>
      </c>
      <c r="M32" s="48"/>
      <c r="N32" s="59">
        <f>SUM(N8:N31)</f>
        <v>2101004537</v>
      </c>
      <c r="O32" s="48"/>
      <c r="P32" s="48">
        <f>SUM(P8:P31)</f>
        <v>83205.16</v>
      </c>
      <c r="Q32" s="48"/>
      <c r="R32" s="48">
        <f>SUM(R8:R31)</f>
        <v>-29631000</v>
      </c>
      <c r="S32" s="48"/>
      <c r="T32" s="48">
        <f>SUM(T8:T31)</f>
        <v>29959000</v>
      </c>
      <c r="U32" s="48"/>
      <c r="V32" s="48"/>
      <c r="W32" s="72">
        <f>SUM(W8:W31)</f>
        <v>2364952.16</v>
      </c>
      <c r="X32" s="55"/>
      <c r="Y32" s="59">
        <f>SUM(Y8:Y31)</f>
        <v>2101415742.1599998</v>
      </c>
      <c r="AA32" s="49"/>
    </row>
    <row r="33" spans="2:27" s="31" customFormat="1" ht="9" customHeight="1">
      <c r="B33" s="47"/>
      <c r="C33" s="47"/>
      <c r="D33" s="47"/>
      <c r="E33" s="47"/>
      <c r="F33" s="58"/>
      <c r="G33" s="50"/>
      <c r="H33" s="154"/>
      <c r="I33" s="154"/>
      <c r="J33" s="154"/>
      <c r="K33" s="50"/>
      <c r="L33" s="50"/>
      <c r="M33" s="50"/>
      <c r="N33" s="58"/>
      <c r="O33" s="50"/>
      <c r="P33" s="50"/>
      <c r="Q33" s="50"/>
      <c r="R33" s="50"/>
      <c r="S33" s="50"/>
      <c r="T33" s="50"/>
      <c r="U33" s="50"/>
      <c r="V33" s="50"/>
      <c r="W33" s="71"/>
      <c r="X33" s="47"/>
      <c r="Y33" s="58"/>
      <c r="AA33" s="120"/>
    </row>
    <row r="34" spans="1:27" s="31" customFormat="1" ht="15">
      <c r="A34" s="31" t="s">
        <v>23</v>
      </c>
      <c r="B34" s="47">
        <v>67011227</v>
      </c>
      <c r="C34" s="47"/>
      <c r="D34" s="47">
        <f>157460</f>
        <v>157460</v>
      </c>
      <c r="E34" s="47"/>
      <c r="F34" s="58">
        <f>B34+D34</f>
        <v>67168687</v>
      </c>
      <c r="G34" s="50"/>
      <c r="H34" s="154">
        <v>-8584100</v>
      </c>
      <c r="I34" s="154"/>
      <c r="J34" s="154">
        <v>-5350700</v>
      </c>
      <c r="K34" s="50"/>
      <c r="L34" s="50">
        <f>J34-H34</f>
        <v>3233400</v>
      </c>
      <c r="M34" s="50"/>
      <c r="N34" s="58">
        <f>F34+L34</f>
        <v>70402087</v>
      </c>
      <c r="O34" s="50"/>
      <c r="P34" s="50">
        <f>182418+2293095+77625+25000+87000+65625</f>
        <v>2730763</v>
      </c>
      <c r="Q34" s="50"/>
      <c r="R34" s="31">
        <f>'(E) SUF Revenue-310,317'!Z34</f>
        <v>0</v>
      </c>
      <c r="T34" s="31">
        <f>'(F) SUG'!L34</f>
        <v>0</v>
      </c>
      <c r="U34" s="50"/>
      <c r="V34" s="50"/>
      <c r="W34" s="71">
        <f>D34+L34+P34+R34+T34</f>
        <v>6121623</v>
      </c>
      <c r="X34" s="47"/>
      <c r="Y34" s="58">
        <f>B34+W34</f>
        <v>73132850</v>
      </c>
      <c r="AA34" s="119"/>
    </row>
    <row r="35" spans="1:27" s="31" customFormat="1" ht="15">
      <c r="A35" s="31" t="s">
        <v>32</v>
      </c>
      <c r="B35" s="47">
        <v>1244735</v>
      </c>
      <c r="C35" s="47"/>
      <c r="D35" s="47">
        <v>0</v>
      </c>
      <c r="E35" s="47"/>
      <c r="F35" s="58">
        <f>B35+D35</f>
        <v>1244735</v>
      </c>
      <c r="G35" s="50"/>
      <c r="H35" s="154">
        <v>0</v>
      </c>
      <c r="I35" s="154"/>
      <c r="J35" s="154">
        <v>0</v>
      </c>
      <c r="K35" s="50"/>
      <c r="L35" s="50">
        <f>J35-H35</f>
        <v>0</v>
      </c>
      <c r="M35" s="50"/>
      <c r="N35" s="58">
        <f>F35+L35</f>
        <v>1244735</v>
      </c>
      <c r="O35" s="50"/>
      <c r="P35" s="50">
        <v>0</v>
      </c>
      <c r="Q35" s="50"/>
      <c r="R35" s="31">
        <f>'(E) SUF Revenue-310,317'!Z35</f>
        <v>-206000</v>
      </c>
      <c r="T35" s="31">
        <f>'(F) SUG'!L35</f>
        <v>0</v>
      </c>
      <c r="U35" s="50"/>
      <c r="V35" s="50"/>
      <c r="W35" s="71">
        <f>D35+L35+P35+R35+T35</f>
        <v>-206000</v>
      </c>
      <c r="X35" s="47"/>
      <c r="Y35" s="58">
        <f>B35+W35</f>
        <v>1038735</v>
      </c>
      <c r="AA35" s="119"/>
    </row>
    <row r="36" spans="1:27" s="31" customFormat="1" ht="15">
      <c r="A36" s="31" t="s">
        <v>24</v>
      </c>
      <c r="B36" s="47">
        <v>2476496</v>
      </c>
      <c r="C36" s="47"/>
      <c r="D36" s="47">
        <v>0</v>
      </c>
      <c r="E36" s="47"/>
      <c r="F36" s="58">
        <f>B36+D36</f>
        <v>2476496</v>
      </c>
      <c r="G36" s="50"/>
      <c r="H36" s="154">
        <v>0</v>
      </c>
      <c r="I36" s="154"/>
      <c r="J36" s="154">
        <v>0</v>
      </c>
      <c r="K36" s="50"/>
      <c r="L36" s="50">
        <f>J36-H36</f>
        <v>0</v>
      </c>
      <c r="M36" s="50"/>
      <c r="N36" s="58">
        <f>F36+L36</f>
        <v>2476496</v>
      </c>
      <c r="O36" s="50"/>
      <c r="P36" s="50">
        <v>0</v>
      </c>
      <c r="Q36" s="50"/>
      <c r="R36" s="31">
        <f>'(E) SUF Revenue-310,317'!Z36</f>
        <v>-81000</v>
      </c>
      <c r="T36" s="31">
        <f>'(F) SUG'!L36</f>
        <v>0</v>
      </c>
      <c r="U36" s="50"/>
      <c r="V36" s="50"/>
      <c r="W36" s="71">
        <f>D36+L36+P36+R36+T36</f>
        <v>-81000</v>
      </c>
      <c r="X36" s="47"/>
      <c r="Y36" s="58">
        <f>B36+W36</f>
        <v>2395496</v>
      </c>
      <c r="AA36" s="119"/>
    </row>
    <row r="37" spans="1:27" s="31" customFormat="1" ht="15">
      <c r="A37" s="31" t="s">
        <v>25</v>
      </c>
      <c r="B37" s="47">
        <v>98800</v>
      </c>
      <c r="C37" s="47"/>
      <c r="D37" s="47">
        <v>0</v>
      </c>
      <c r="E37" s="47"/>
      <c r="F37" s="58">
        <f>B37+D37</f>
        <v>98800</v>
      </c>
      <c r="G37" s="50"/>
      <c r="H37" s="154">
        <v>0</v>
      </c>
      <c r="I37" s="154"/>
      <c r="J37" s="154">
        <v>0</v>
      </c>
      <c r="K37" s="50"/>
      <c r="L37" s="50">
        <f>J37-H37</f>
        <v>0</v>
      </c>
      <c r="M37" s="50"/>
      <c r="N37" s="58">
        <f>F37+L37</f>
        <v>98800</v>
      </c>
      <c r="O37" s="50"/>
      <c r="P37" s="50">
        <v>0</v>
      </c>
      <c r="Q37" s="50"/>
      <c r="R37" s="31">
        <f>'(E) SUF Revenue-310,317'!Z37</f>
        <v>-41000</v>
      </c>
      <c r="T37" s="31">
        <f>'(F) SUG'!L37</f>
        <v>0</v>
      </c>
      <c r="U37" s="50"/>
      <c r="V37" s="50"/>
      <c r="W37" s="71">
        <f>D37+L37+P37+R37+T37</f>
        <v>-41000</v>
      </c>
      <c r="X37" s="47"/>
      <c r="Y37" s="58">
        <f>B37+W37</f>
        <v>57800</v>
      </c>
      <c r="AA37" s="119"/>
    </row>
    <row r="38" spans="1:27" s="31" customFormat="1" ht="15">
      <c r="A38" s="31" t="s">
        <v>26</v>
      </c>
      <c r="B38" s="47">
        <v>168069601</v>
      </c>
      <c r="C38" s="47"/>
      <c r="D38" s="47">
        <v>0</v>
      </c>
      <c r="E38" s="47"/>
      <c r="F38" s="58">
        <f>B38+D38</f>
        <v>168069601</v>
      </c>
      <c r="G38" s="50"/>
      <c r="H38" s="154">
        <v>-4955900</v>
      </c>
      <c r="I38" s="154"/>
      <c r="J38" s="154">
        <v>-2854500</v>
      </c>
      <c r="K38" s="50"/>
      <c r="L38" s="50">
        <f>J38-H38</f>
        <v>2101400</v>
      </c>
      <c r="M38" s="50"/>
      <c r="N38" s="58">
        <f>F38+L38</f>
        <v>170171001</v>
      </c>
      <c r="O38" s="50"/>
      <c r="P38" s="50">
        <f>-182418+910500-2293095+4656000+8133000+663000-1878000-77625-74917-25000-87000-65625-8288</f>
        <v>9670532</v>
      </c>
      <c r="Q38" s="50"/>
      <c r="R38" s="31">
        <f>'(E) SUF Revenue-310,317'!Z38</f>
        <v>0</v>
      </c>
      <c r="T38" s="31">
        <f>'(F) SUG'!L38</f>
        <v>0</v>
      </c>
      <c r="U38" s="50"/>
      <c r="V38" s="144"/>
      <c r="W38" s="71">
        <f>D38+L38+P38+R38+T38</f>
        <v>11771932</v>
      </c>
      <c r="X38" s="47"/>
      <c r="Y38" s="58">
        <f>B38+W38</f>
        <v>179841533</v>
      </c>
      <c r="AA38" s="119"/>
    </row>
    <row r="39" spans="2:27" s="31" customFormat="1" ht="9" customHeight="1">
      <c r="B39" s="47"/>
      <c r="C39" s="47"/>
      <c r="D39" s="47"/>
      <c r="E39" s="47"/>
      <c r="F39" s="58"/>
      <c r="G39" s="50"/>
      <c r="H39" s="154"/>
      <c r="I39" s="154"/>
      <c r="J39" s="154"/>
      <c r="K39" s="50"/>
      <c r="L39" s="50"/>
      <c r="M39" s="50"/>
      <c r="N39" s="58"/>
      <c r="O39" s="50"/>
      <c r="P39" s="50"/>
      <c r="Q39" s="50"/>
      <c r="R39" s="50"/>
      <c r="S39" s="50"/>
      <c r="T39" s="50"/>
      <c r="U39" s="50"/>
      <c r="V39" s="50"/>
      <c r="W39" s="71"/>
      <c r="X39" s="47"/>
      <c r="Y39" s="58"/>
      <c r="AA39" s="120"/>
    </row>
    <row r="40" spans="1:27" s="56" customFormat="1" ht="15" customHeight="1" thickBot="1">
      <c r="A40" s="44" t="s">
        <v>27</v>
      </c>
      <c r="B40" s="52">
        <v>2337951649</v>
      </c>
      <c r="C40" s="52"/>
      <c r="D40" s="52">
        <f>SUM(D32:D38)</f>
        <v>7446007</v>
      </c>
      <c r="E40" s="52"/>
      <c r="F40" s="60">
        <f>SUM(F32:F38)</f>
        <v>2345397656</v>
      </c>
      <c r="G40" s="52"/>
      <c r="H40" s="156">
        <v>-571100000</v>
      </c>
      <c r="I40" s="156"/>
      <c r="J40" s="156">
        <v>-571100000</v>
      </c>
      <c r="K40" s="52"/>
      <c r="L40" s="52">
        <f>L32+L34+L35+L36+L37+L38</f>
        <v>0</v>
      </c>
      <c r="M40" s="52"/>
      <c r="N40" s="60">
        <f>SUM(N32:N38)</f>
        <v>2345397656</v>
      </c>
      <c r="O40" s="52"/>
      <c r="P40" s="52">
        <f>SUM(P32:P38)</f>
        <v>12484500.16</v>
      </c>
      <c r="Q40" s="52"/>
      <c r="R40" s="52">
        <f>SUM(R32:R38)</f>
        <v>-29959000</v>
      </c>
      <c r="S40" s="52"/>
      <c r="T40" s="52">
        <f>SUM(T32:T38)</f>
        <v>29959000</v>
      </c>
      <c r="U40" s="52"/>
      <c r="V40" s="52"/>
      <c r="W40" s="143">
        <f>SUM(W32:W38)</f>
        <v>19930507.16</v>
      </c>
      <c r="X40" s="52"/>
      <c r="Y40" s="60">
        <f>SUM(Y32:Y38)</f>
        <v>2357882156.16</v>
      </c>
      <c r="AA40" s="49"/>
    </row>
    <row r="41" spans="13:21" ht="12.75">
      <c r="M41" s="34"/>
      <c r="N41" s="34"/>
      <c r="O41" s="34"/>
      <c r="P41" s="34"/>
      <c r="Q41" s="34"/>
      <c r="R41" s="34"/>
      <c r="S41" s="34"/>
      <c r="T41" s="34"/>
      <c r="U41" s="34"/>
    </row>
    <row r="42" spans="1:25" ht="54" customHeight="1">
      <c r="A42" s="395" t="s">
        <v>166</v>
      </c>
      <c r="B42" s="395"/>
      <c r="C42" s="395"/>
      <c r="D42" s="395"/>
      <c r="E42" s="395"/>
      <c r="F42" s="395"/>
      <c r="G42" s="395"/>
      <c r="H42" s="395"/>
      <c r="I42" s="395"/>
      <c r="J42" s="395"/>
      <c r="K42" s="395"/>
      <c r="L42" s="395"/>
      <c r="M42" s="395"/>
      <c r="N42" s="395"/>
      <c r="O42" s="395"/>
      <c r="P42" s="395"/>
      <c r="Q42" s="395"/>
      <c r="R42" s="395"/>
      <c r="S42" s="395"/>
      <c r="T42" s="395"/>
      <c r="U42" s="395"/>
      <c r="V42" s="395"/>
      <c r="W42" s="395"/>
      <c r="X42" s="395"/>
      <c r="Y42" s="395"/>
    </row>
    <row r="43" spans="1:25" ht="18" customHeight="1">
      <c r="A43" s="395"/>
      <c r="B43" s="395"/>
      <c r="C43" s="395"/>
      <c r="D43" s="395"/>
      <c r="E43" s="395"/>
      <c r="F43" s="395"/>
      <c r="G43" s="395"/>
      <c r="H43" s="395"/>
      <c r="I43" s="395"/>
      <c r="J43" s="395"/>
      <c r="K43" s="395"/>
      <c r="L43" s="395"/>
      <c r="M43" s="395"/>
      <c r="N43" s="395"/>
      <c r="O43" s="395"/>
      <c r="P43" s="395"/>
      <c r="Q43" s="395"/>
      <c r="R43" s="395"/>
      <c r="S43" s="395"/>
      <c r="T43" s="395"/>
      <c r="U43" s="395"/>
      <c r="V43" s="395"/>
      <c r="W43" s="395"/>
      <c r="X43" s="395"/>
      <c r="Y43" s="395"/>
    </row>
  </sheetData>
  <sheetProtection/>
  <mergeCells count="2">
    <mergeCell ref="A42:Y42"/>
    <mergeCell ref="A43:Y43"/>
  </mergeCells>
  <printOptions/>
  <pageMargins left="0.25" right="0.25" top="0.25" bottom="0.25" header="0.5" footer="0.5"/>
  <pageSetup fitToHeight="1" fitToWidth="1" horizontalDpi="600" verticalDpi="600" orientation="landscape" paperSize="5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5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H15" sqref="H15"/>
    </sheetView>
  </sheetViews>
  <sheetFormatPr defaultColWidth="9.33203125" defaultRowHeight="12.75"/>
  <cols>
    <col min="1" max="1" width="24.66015625" style="85" customWidth="1"/>
    <col min="2" max="2" width="1.83203125" style="84" customWidth="1"/>
    <col min="3" max="3" width="12.33203125" style="82" customWidth="1"/>
    <col min="4" max="4" width="12.33203125" style="82" bestFit="1" customWidth="1"/>
    <col min="5" max="5" width="12.66015625" style="82" bestFit="1" customWidth="1"/>
    <col min="6" max="6" width="2.83203125" style="82" customWidth="1"/>
    <col min="7" max="7" width="3.83203125" style="82" customWidth="1"/>
    <col min="8" max="8" width="13.66015625" style="83" bestFit="1" customWidth="1"/>
    <col min="9" max="9" width="3.83203125" style="83" customWidth="1"/>
    <col min="10" max="10" width="15" style="122" customWidth="1"/>
    <col min="11" max="11" width="21.33203125" style="83" customWidth="1"/>
    <col min="12" max="12" width="1.83203125" style="83" customWidth="1"/>
    <col min="13" max="13" width="16.16015625" style="122" customWidth="1"/>
    <col min="14" max="14" width="2.83203125" style="82" customWidth="1"/>
    <col min="15" max="15" width="15.33203125" style="82" customWidth="1"/>
    <col min="16" max="16384" width="9.33203125" style="82" customWidth="1"/>
  </cols>
  <sheetData>
    <row r="1" spans="1:2" ht="16.5">
      <c r="A1" s="140" t="s">
        <v>146</v>
      </c>
      <c r="B1" s="117"/>
    </row>
    <row r="2" spans="1:2" ht="15.75" customHeight="1">
      <c r="A2" s="164"/>
      <c r="B2" s="116"/>
    </row>
    <row r="3" spans="1:15" s="113" customFormat="1" ht="18" customHeight="1">
      <c r="A3" s="115"/>
      <c r="B3" s="115"/>
      <c r="C3" s="114">
        <v>-1</v>
      </c>
      <c r="D3" s="114">
        <v>-2</v>
      </c>
      <c r="E3" s="114">
        <v>-3</v>
      </c>
      <c r="F3" s="114"/>
      <c r="G3" s="114"/>
      <c r="H3" s="114">
        <v>-4</v>
      </c>
      <c r="I3" s="114"/>
      <c r="J3" s="114"/>
      <c r="K3" s="113">
        <v>-5</v>
      </c>
      <c r="M3" s="114">
        <v>-6</v>
      </c>
      <c r="O3" s="113">
        <v>-7</v>
      </c>
    </row>
    <row r="4" spans="1:15" s="111" customFormat="1" ht="15.75">
      <c r="A4" s="112"/>
      <c r="B4" s="109"/>
      <c r="C4" s="399" t="s">
        <v>61</v>
      </c>
      <c r="D4" s="399"/>
      <c r="E4" s="399"/>
      <c r="F4" s="399"/>
      <c r="G4" s="399"/>
      <c r="H4" s="399"/>
      <c r="I4" s="161"/>
      <c r="J4" s="147"/>
      <c r="K4" s="403" t="s">
        <v>65</v>
      </c>
      <c r="L4" s="147"/>
      <c r="M4" s="163"/>
      <c r="N4" s="165"/>
      <c r="O4" s="370"/>
    </row>
    <row r="5" spans="1:17" s="108" customFormat="1" ht="45.75">
      <c r="A5" s="110"/>
      <c r="B5" s="109"/>
      <c r="C5" s="166" t="s">
        <v>36</v>
      </c>
      <c r="D5" s="166" t="s">
        <v>35</v>
      </c>
      <c r="E5" s="167" t="s">
        <v>57</v>
      </c>
      <c r="F5" s="166"/>
      <c r="G5" s="400" t="s">
        <v>41</v>
      </c>
      <c r="H5" s="401"/>
      <c r="I5" s="402"/>
      <c r="J5" s="182"/>
      <c r="K5" s="403"/>
      <c r="L5" s="163"/>
      <c r="M5" s="256" t="s">
        <v>130</v>
      </c>
      <c r="N5" s="163"/>
      <c r="O5" s="371" t="s">
        <v>58</v>
      </c>
      <c r="P5" s="183"/>
      <c r="Q5" s="183"/>
    </row>
    <row r="6" spans="1:15" s="102" customFormat="1" ht="12.75">
      <c r="A6" s="107"/>
      <c r="B6" s="106"/>
      <c r="C6" s="105"/>
      <c r="D6" s="105"/>
      <c r="E6" s="103"/>
      <c r="F6" s="105"/>
      <c r="G6" s="396" t="s">
        <v>45</v>
      </c>
      <c r="H6" s="397"/>
      <c r="I6" s="398"/>
      <c r="J6" s="181"/>
      <c r="K6" s="160"/>
      <c r="L6" s="179"/>
      <c r="M6" s="104"/>
      <c r="O6" s="372" t="s">
        <v>62</v>
      </c>
    </row>
    <row r="7" spans="1:15" s="98" customFormat="1" ht="9" customHeight="1">
      <c r="A7" s="85"/>
      <c r="B7" s="84"/>
      <c r="C7" s="101"/>
      <c r="D7" s="101"/>
      <c r="E7" s="99"/>
      <c r="F7" s="101"/>
      <c r="G7" s="361"/>
      <c r="H7" s="100"/>
      <c r="I7" s="362"/>
      <c r="J7" s="100"/>
      <c r="K7" s="100"/>
      <c r="L7" s="100"/>
      <c r="M7" s="100"/>
      <c r="O7" s="373"/>
    </row>
    <row r="8" spans="1:16" s="93" customFormat="1" ht="15" customHeight="1">
      <c r="A8" s="97" t="s">
        <v>0</v>
      </c>
      <c r="B8" s="87"/>
      <c r="C8" s="87">
        <v>204000</v>
      </c>
      <c r="D8" s="87">
        <v>146600</v>
      </c>
      <c r="E8" s="87">
        <v>0</v>
      </c>
      <c r="F8" s="96"/>
      <c r="G8" s="363"/>
      <c r="H8" s="95">
        <f>SUM(C8:E8)</f>
        <v>350600</v>
      </c>
      <c r="I8" s="364"/>
      <c r="J8" s="95"/>
      <c r="K8" s="95"/>
      <c r="L8" s="95"/>
      <c r="M8" s="95"/>
      <c r="N8" s="94"/>
      <c r="O8" s="374"/>
      <c r="P8" s="94"/>
    </row>
    <row r="9" spans="1:16" ht="15" customHeight="1">
      <c r="A9" s="86" t="s">
        <v>1</v>
      </c>
      <c r="B9" s="77"/>
      <c r="C9" s="77">
        <v>148000</v>
      </c>
      <c r="D9" s="77">
        <v>107500</v>
      </c>
      <c r="E9" s="77">
        <v>601900</v>
      </c>
      <c r="F9" s="92"/>
      <c r="G9" s="365"/>
      <c r="H9" s="90">
        <f>SUM(C9:E9)</f>
        <v>857400</v>
      </c>
      <c r="I9" s="366"/>
      <c r="J9" s="90"/>
      <c r="K9" s="90"/>
      <c r="L9" s="90"/>
      <c r="M9" s="90"/>
      <c r="N9" s="83"/>
      <c r="O9" s="375"/>
      <c r="P9" s="83"/>
    </row>
    <row r="10" spans="1:16" ht="15" customHeight="1">
      <c r="A10" s="86" t="s">
        <v>2</v>
      </c>
      <c r="B10" s="77"/>
      <c r="C10" s="77">
        <v>463000</v>
      </c>
      <c r="D10" s="77">
        <v>312800</v>
      </c>
      <c r="E10" s="77">
        <v>0</v>
      </c>
      <c r="F10" s="92"/>
      <c r="G10" s="365"/>
      <c r="H10" s="90">
        <f aca="true" t="shared" si="0" ref="H10:H30">SUM(C10:E10)</f>
        <v>775800</v>
      </c>
      <c r="I10" s="366"/>
      <c r="J10" s="90"/>
      <c r="K10" s="90"/>
      <c r="L10" s="90"/>
      <c r="M10" s="90"/>
      <c r="N10" s="83"/>
      <c r="O10" s="375"/>
      <c r="P10" s="83"/>
    </row>
    <row r="11" spans="1:16" ht="15" customHeight="1">
      <c r="A11" s="86" t="s">
        <v>3</v>
      </c>
      <c r="B11" s="77"/>
      <c r="C11" s="77">
        <v>246000</v>
      </c>
      <c r="D11" s="77">
        <v>180500</v>
      </c>
      <c r="E11" s="77">
        <v>0</v>
      </c>
      <c r="F11" s="92"/>
      <c r="G11" s="365"/>
      <c r="H11" s="90">
        <f t="shared" si="0"/>
        <v>426500</v>
      </c>
      <c r="I11" s="366"/>
      <c r="J11" s="90"/>
      <c r="K11" s="90"/>
      <c r="L11" s="90"/>
      <c r="M11" s="90"/>
      <c r="N11" s="83"/>
      <c r="O11" s="375"/>
      <c r="P11" s="83"/>
    </row>
    <row r="12" spans="1:16" ht="15" customHeight="1">
      <c r="A12" s="86" t="s">
        <v>29</v>
      </c>
      <c r="B12" s="77"/>
      <c r="C12" s="77">
        <v>349000</v>
      </c>
      <c r="D12" s="77">
        <v>253600</v>
      </c>
      <c r="E12" s="77">
        <v>977500</v>
      </c>
      <c r="F12" s="92"/>
      <c r="G12" s="365"/>
      <c r="H12" s="90">
        <f t="shared" si="0"/>
        <v>1580100</v>
      </c>
      <c r="I12" s="366"/>
      <c r="J12" s="90"/>
      <c r="K12" s="90"/>
      <c r="L12" s="90"/>
      <c r="M12" s="90"/>
      <c r="N12" s="83"/>
      <c r="O12" s="375"/>
      <c r="P12" s="83"/>
    </row>
    <row r="13" spans="1:16" ht="15" customHeight="1">
      <c r="A13" s="86" t="s">
        <v>4</v>
      </c>
      <c r="B13" s="77"/>
      <c r="C13" s="77">
        <v>508000</v>
      </c>
      <c r="D13" s="77">
        <v>363000</v>
      </c>
      <c r="E13" s="77">
        <v>54700</v>
      </c>
      <c r="F13" s="92"/>
      <c r="G13" s="365"/>
      <c r="H13" s="90">
        <f t="shared" si="0"/>
        <v>925700</v>
      </c>
      <c r="I13" s="366"/>
      <c r="J13" s="90"/>
      <c r="K13" s="90"/>
      <c r="L13" s="90"/>
      <c r="M13" s="90"/>
      <c r="N13" s="83"/>
      <c r="O13" s="375"/>
      <c r="P13" s="83"/>
    </row>
    <row r="14" spans="1:16" ht="15" customHeight="1">
      <c r="A14" s="86" t="s">
        <v>5</v>
      </c>
      <c r="B14" s="77"/>
      <c r="C14" s="77">
        <v>669000</v>
      </c>
      <c r="D14" s="77">
        <v>481400</v>
      </c>
      <c r="E14" s="77">
        <v>77800</v>
      </c>
      <c r="F14" s="92"/>
      <c r="G14" s="365"/>
      <c r="H14" s="90">
        <f t="shared" si="0"/>
        <v>1228200</v>
      </c>
      <c r="I14" s="366"/>
      <c r="J14" s="90"/>
      <c r="K14" s="90"/>
      <c r="L14" s="90"/>
      <c r="M14" s="90"/>
      <c r="N14" s="83"/>
      <c r="O14" s="375"/>
      <c r="P14" s="83"/>
    </row>
    <row r="15" spans="1:16" ht="15" customHeight="1">
      <c r="A15" s="86" t="s">
        <v>6</v>
      </c>
      <c r="B15" s="77"/>
      <c r="C15" s="77">
        <v>254000</v>
      </c>
      <c r="D15" s="77">
        <v>235000</v>
      </c>
      <c r="E15" s="77">
        <v>585800</v>
      </c>
      <c r="F15" s="92"/>
      <c r="G15" s="365"/>
      <c r="H15" s="90">
        <f t="shared" si="0"/>
        <v>1074800</v>
      </c>
      <c r="I15" s="366"/>
      <c r="J15" s="90"/>
      <c r="K15" s="90"/>
      <c r="L15" s="90"/>
      <c r="M15" s="90"/>
      <c r="N15" s="83"/>
      <c r="O15" s="375"/>
      <c r="P15" s="83"/>
    </row>
    <row r="16" spans="1:16" ht="15" customHeight="1">
      <c r="A16" s="86" t="s">
        <v>7</v>
      </c>
      <c r="B16" s="77"/>
      <c r="C16" s="77">
        <v>702000</v>
      </c>
      <c r="D16" s="77">
        <v>523400</v>
      </c>
      <c r="E16" s="77">
        <v>1642900</v>
      </c>
      <c r="F16" s="92"/>
      <c r="G16" s="365"/>
      <c r="H16" s="90">
        <f t="shared" si="0"/>
        <v>2868300</v>
      </c>
      <c r="I16" s="366"/>
      <c r="J16" s="90"/>
      <c r="K16" s="90"/>
      <c r="L16" s="90"/>
      <c r="M16" s="90"/>
      <c r="N16" s="83"/>
      <c r="O16" s="375"/>
      <c r="P16" s="83"/>
    </row>
    <row r="17" spans="1:15" s="83" customFormat="1" ht="15" customHeight="1">
      <c r="A17" s="86" t="s">
        <v>8</v>
      </c>
      <c r="B17" s="77"/>
      <c r="C17" s="77">
        <v>402000</v>
      </c>
      <c r="D17" s="77">
        <v>405000</v>
      </c>
      <c r="E17" s="77">
        <f>1190000</f>
        <v>1190000</v>
      </c>
      <c r="F17" s="304">
        <v>1</v>
      </c>
      <c r="G17" s="365"/>
      <c r="H17" s="90">
        <f t="shared" si="0"/>
        <v>1997000</v>
      </c>
      <c r="I17" s="366"/>
      <c r="J17" s="90"/>
      <c r="K17" s="90"/>
      <c r="L17" s="90"/>
      <c r="M17" s="90"/>
      <c r="O17" s="375"/>
    </row>
    <row r="18" spans="1:15" s="83" customFormat="1" ht="15" customHeight="1">
      <c r="A18" s="86" t="s">
        <v>9</v>
      </c>
      <c r="B18" s="77"/>
      <c r="C18" s="77">
        <v>51000</v>
      </c>
      <c r="D18" s="77">
        <v>71000</v>
      </c>
      <c r="E18" s="77">
        <v>0</v>
      </c>
      <c r="F18" s="92"/>
      <c r="G18" s="365"/>
      <c r="H18" s="90">
        <f t="shared" si="0"/>
        <v>122000</v>
      </c>
      <c r="I18" s="366"/>
      <c r="J18" s="90"/>
      <c r="K18" s="90"/>
      <c r="L18" s="90"/>
      <c r="M18" s="90"/>
      <c r="O18" s="375"/>
    </row>
    <row r="19" spans="1:15" s="83" customFormat="1" ht="15" customHeight="1">
      <c r="A19" s="86" t="s">
        <v>10</v>
      </c>
      <c r="B19" s="77"/>
      <c r="C19" s="77">
        <v>153000</v>
      </c>
      <c r="D19" s="77">
        <v>130200</v>
      </c>
      <c r="E19" s="77">
        <v>0</v>
      </c>
      <c r="F19" s="92"/>
      <c r="G19" s="365"/>
      <c r="H19" s="90">
        <f t="shared" si="0"/>
        <v>283200</v>
      </c>
      <c r="I19" s="366"/>
      <c r="J19" s="90"/>
      <c r="K19" s="90"/>
      <c r="L19" s="90"/>
      <c r="M19" s="90"/>
      <c r="O19" s="375"/>
    </row>
    <row r="20" spans="1:15" s="83" customFormat="1" ht="15" customHeight="1">
      <c r="A20" s="86" t="s">
        <v>11</v>
      </c>
      <c r="B20" s="77"/>
      <c r="C20" s="77">
        <v>676000</v>
      </c>
      <c r="D20" s="77">
        <v>493600</v>
      </c>
      <c r="E20" s="77">
        <v>0</v>
      </c>
      <c r="F20" s="92"/>
      <c r="G20" s="365"/>
      <c r="H20" s="90">
        <f t="shared" si="0"/>
        <v>1169600</v>
      </c>
      <c r="I20" s="366"/>
      <c r="J20" s="90"/>
      <c r="K20" s="90"/>
      <c r="L20" s="90"/>
      <c r="M20" s="90"/>
      <c r="O20" s="375"/>
    </row>
    <row r="21" spans="1:15" s="83" customFormat="1" ht="15" customHeight="1">
      <c r="A21" s="86" t="s">
        <v>12</v>
      </c>
      <c r="B21" s="77"/>
      <c r="C21" s="77">
        <v>483000</v>
      </c>
      <c r="D21" s="77">
        <v>376300</v>
      </c>
      <c r="E21" s="77">
        <v>0</v>
      </c>
      <c r="F21" s="92"/>
      <c r="G21" s="365"/>
      <c r="H21" s="90">
        <f t="shared" si="0"/>
        <v>859300</v>
      </c>
      <c r="I21" s="366"/>
      <c r="J21" s="90"/>
      <c r="K21" s="90"/>
      <c r="L21" s="90"/>
      <c r="M21" s="90"/>
      <c r="O21" s="375"/>
    </row>
    <row r="22" spans="1:15" s="83" customFormat="1" ht="15" customHeight="1">
      <c r="A22" s="86" t="s">
        <v>13</v>
      </c>
      <c r="B22" s="77"/>
      <c r="C22" s="77">
        <v>595000</v>
      </c>
      <c r="D22" s="77">
        <v>360900</v>
      </c>
      <c r="E22" s="77">
        <v>0</v>
      </c>
      <c r="F22" s="92"/>
      <c r="G22" s="365"/>
      <c r="H22" s="90">
        <f t="shared" si="0"/>
        <v>955900</v>
      </c>
      <c r="I22" s="366"/>
      <c r="J22" s="90"/>
      <c r="K22" s="90"/>
      <c r="L22" s="90"/>
      <c r="M22" s="90"/>
      <c r="O22" s="375"/>
    </row>
    <row r="23" spans="1:15" s="83" customFormat="1" ht="15" customHeight="1">
      <c r="A23" s="86" t="s">
        <v>14</v>
      </c>
      <c r="B23" s="77"/>
      <c r="C23" s="77">
        <v>373000</v>
      </c>
      <c r="D23" s="77">
        <v>300500</v>
      </c>
      <c r="E23" s="77">
        <v>160500</v>
      </c>
      <c r="F23" s="92"/>
      <c r="G23" s="365"/>
      <c r="H23" s="90">
        <f t="shared" si="0"/>
        <v>834000</v>
      </c>
      <c r="I23" s="366"/>
      <c r="J23" s="90"/>
      <c r="K23" s="90"/>
      <c r="L23" s="90"/>
      <c r="M23" s="90"/>
      <c r="O23" s="375"/>
    </row>
    <row r="24" spans="1:15" s="83" customFormat="1" ht="15" customHeight="1">
      <c r="A24" s="86" t="s">
        <v>15</v>
      </c>
      <c r="B24" s="77"/>
      <c r="C24" s="77">
        <v>793000</v>
      </c>
      <c r="D24" s="77">
        <v>588500</v>
      </c>
      <c r="E24" s="77">
        <v>53700</v>
      </c>
      <c r="F24" s="92"/>
      <c r="G24" s="365"/>
      <c r="H24" s="90">
        <f t="shared" si="0"/>
        <v>1435200</v>
      </c>
      <c r="I24" s="366"/>
      <c r="J24" s="90"/>
      <c r="K24" s="90"/>
      <c r="L24" s="90"/>
      <c r="M24" s="90"/>
      <c r="O24" s="375"/>
    </row>
    <row r="25" spans="1:15" s="83" customFormat="1" ht="15" customHeight="1">
      <c r="A25" s="86" t="s">
        <v>16</v>
      </c>
      <c r="B25" s="77"/>
      <c r="C25" s="77">
        <v>618000</v>
      </c>
      <c r="D25" s="77">
        <v>417000</v>
      </c>
      <c r="E25" s="77">
        <v>77800</v>
      </c>
      <c r="F25" s="92"/>
      <c r="G25" s="365"/>
      <c r="H25" s="90">
        <f t="shared" si="0"/>
        <v>1112800</v>
      </c>
      <c r="I25" s="366"/>
      <c r="J25" s="90"/>
      <c r="K25" s="90"/>
      <c r="L25" s="90"/>
      <c r="M25" s="90"/>
      <c r="O25" s="375"/>
    </row>
    <row r="26" spans="1:15" s="83" customFormat="1" ht="15" customHeight="1">
      <c r="A26" s="86" t="s">
        <v>17</v>
      </c>
      <c r="B26" s="77"/>
      <c r="C26" s="77">
        <v>609000</v>
      </c>
      <c r="D26" s="77">
        <v>528700</v>
      </c>
      <c r="E26" s="77">
        <v>0</v>
      </c>
      <c r="F26" s="92"/>
      <c r="G26" s="365"/>
      <c r="H26" s="90">
        <f t="shared" si="0"/>
        <v>1137700</v>
      </c>
      <c r="I26" s="366"/>
      <c r="J26" s="90"/>
      <c r="K26" s="90"/>
      <c r="L26" s="90"/>
      <c r="M26" s="90"/>
      <c r="O26" s="375"/>
    </row>
    <row r="27" spans="1:15" s="83" customFormat="1" ht="15" customHeight="1">
      <c r="A27" s="86" t="s">
        <v>18</v>
      </c>
      <c r="B27" s="77"/>
      <c r="C27" s="77">
        <v>553000</v>
      </c>
      <c r="D27" s="77">
        <v>432500</v>
      </c>
      <c r="E27" s="77">
        <v>106100</v>
      </c>
      <c r="F27" s="92"/>
      <c r="G27" s="365"/>
      <c r="H27" s="90">
        <f t="shared" si="0"/>
        <v>1091600</v>
      </c>
      <c r="I27" s="366"/>
      <c r="J27" s="90"/>
      <c r="K27" s="90"/>
      <c r="L27" s="90"/>
      <c r="M27" s="90"/>
      <c r="O27" s="375"/>
    </row>
    <row r="28" spans="1:15" s="83" customFormat="1" ht="15" customHeight="1">
      <c r="A28" s="86" t="s">
        <v>19</v>
      </c>
      <c r="B28" s="77"/>
      <c r="C28" s="77">
        <v>224000</v>
      </c>
      <c r="D28" s="77">
        <v>168800</v>
      </c>
      <c r="E28" s="77">
        <v>1036300</v>
      </c>
      <c r="F28" s="92"/>
      <c r="G28" s="365"/>
      <c r="H28" s="90">
        <f t="shared" si="0"/>
        <v>1429100</v>
      </c>
      <c r="I28" s="366"/>
      <c r="J28" s="90"/>
      <c r="K28" s="90"/>
      <c r="L28" s="90"/>
      <c r="M28" s="90"/>
      <c r="O28" s="375"/>
    </row>
    <row r="29" spans="1:15" s="83" customFormat="1" ht="15" customHeight="1">
      <c r="A29" s="86" t="s">
        <v>20</v>
      </c>
      <c r="B29" s="77"/>
      <c r="C29" s="77">
        <v>253000</v>
      </c>
      <c r="D29" s="77">
        <v>173000</v>
      </c>
      <c r="E29" s="77">
        <v>0</v>
      </c>
      <c r="F29" s="92"/>
      <c r="G29" s="365"/>
      <c r="H29" s="90">
        <f t="shared" si="0"/>
        <v>426000</v>
      </c>
      <c r="I29" s="366"/>
      <c r="J29" s="90"/>
      <c r="K29" s="90"/>
      <c r="L29" s="90"/>
      <c r="M29" s="90"/>
      <c r="O29" s="375"/>
    </row>
    <row r="30" spans="1:15" s="83" customFormat="1" ht="15" customHeight="1">
      <c r="A30" s="86" t="s">
        <v>21</v>
      </c>
      <c r="B30" s="77"/>
      <c r="C30" s="77">
        <v>232000</v>
      </c>
      <c r="D30" s="77">
        <v>178200</v>
      </c>
      <c r="E30" s="77">
        <v>0</v>
      </c>
      <c r="F30" s="92"/>
      <c r="G30" s="365"/>
      <c r="H30" s="90">
        <f t="shared" si="0"/>
        <v>410200</v>
      </c>
      <c r="I30" s="366"/>
      <c r="J30" s="90"/>
      <c r="K30" s="90"/>
      <c r="L30" s="90"/>
      <c r="M30" s="90"/>
      <c r="O30" s="375"/>
    </row>
    <row r="31" spans="1:15" s="83" customFormat="1" ht="9" customHeight="1">
      <c r="A31" s="86"/>
      <c r="B31" s="77"/>
      <c r="C31" s="77"/>
      <c r="D31" s="77"/>
      <c r="E31" s="77"/>
      <c r="F31" s="77"/>
      <c r="G31" s="365"/>
      <c r="H31" s="89"/>
      <c r="I31" s="367"/>
      <c r="J31" s="89"/>
      <c r="K31" s="89"/>
      <c r="L31" s="89"/>
      <c r="M31" s="89"/>
      <c r="O31" s="375"/>
    </row>
    <row r="32" spans="1:15" s="83" customFormat="1" ht="15" customHeight="1">
      <c r="A32" s="91" t="s">
        <v>22</v>
      </c>
      <c r="B32" s="91"/>
      <c r="C32" s="78">
        <f>SUM(C8:C31)</f>
        <v>9558000</v>
      </c>
      <c r="D32" s="78">
        <f>SUM(D8:D31)</f>
        <v>7228000</v>
      </c>
      <c r="E32" s="78">
        <f>SUM(E8:E31)</f>
        <v>6565000</v>
      </c>
      <c r="F32" s="78"/>
      <c r="G32" s="368"/>
      <c r="H32" s="78">
        <f>SUM(H8:H31)</f>
        <v>23351000</v>
      </c>
      <c r="I32" s="369"/>
      <c r="J32" s="87"/>
      <c r="K32" s="78">
        <f>SUM(K8:K31)</f>
        <v>0</v>
      </c>
      <c r="L32" s="78"/>
      <c r="M32" s="78">
        <f>SUM(M8:M31)</f>
        <v>0</v>
      </c>
      <c r="N32" s="168"/>
      <c r="O32" s="376">
        <f>SUM(O8:O31)</f>
        <v>0</v>
      </c>
    </row>
    <row r="33" spans="1:15" s="83" customFormat="1" ht="9" customHeight="1">
      <c r="A33" s="86"/>
      <c r="B33" s="77"/>
      <c r="C33" s="77"/>
      <c r="D33" s="77"/>
      <c r="E33" s="77"/>
      <c r="F33" s="77"/>
      <c r="G33" s="365"/>
      <c r="H33" s="89"/>
      <c r="I33" s="367"/>
      <c r="J33" s="89"/>
      <c r="K33" s="89"/>
      <c r="L33" s="89"/>
      <c r="M33" s="89"/>
      <c r="O33" s="375"/>
    </row>
    <row r="34" spans="1:15" s="83" customFormat="1" ht="15" customHeight="1">
      <c r="A34" s="86" t="s">
        <v>23</v>
      </c>
      <c r="B34" s="77"/>
      <c r="C34" s="77">
        <v>142000</v>
      </c>
      <c r="D34" s="77">
        <v>0</v>
      </c>
      <c r="E34" s="77">
        <v>0</v>
      </c>
      <c r="F34" s="77"/>
      <c r="G34" s="365"/>
      <c r="H34" s="90">
        <f>SUM(C34:E34)</f>
        <v>142000</v>
      </c>
      <c r="I34" s="366"/>
      <c r="J34" s="90"/>
      <c r="K34" s="90"/>
      <c r="L34" s="90"/>
      <c r="O34" s="375"/>
    </row>
    <row r="35" spans="1:15" s="83" customFormat="1" ht="15" customHeight="1">
      <c r="A35" s="86" t="s">
        <v>32</v>
      </c>
      <c r="B35" s="77"/>
      <c r="C35" s="77">
        <v>0</v>
      </c>
      <c r="D35" s="77">
        <v>0</v>
      </c>
      <c r="E35" s="77">
        <v>0</v>
      </c>
      <c r="F35" s="77"/>
      <c r="G35" s="365"/>
      <c r="H35" s="90">
        <f>SUM(C35:E35)</f>
        <v>0</v>
      </c>
      <c r="I35" s="366"/>
      <c r="J35" s="90"/>
      <c r="K35" s="90"/>
      <c r="L35" s="90"/>
      <c r="M35" s="90"/>
      <c r="O35" s="375"/>
    </row>
    <row r="36" spans="1:15" s="83" customFormat="1" ht="15" customHeight="1">
      <c r="A36" s="86" t="s">
        <v>24</v>
      </c>
      <c r="B36" s="77"/>
      <c r="C36" s="77">
        <v>0</v>
      </c>
      <c r="D36" s="77">
        <v>0</v>
      </c>
      <c r="E36" s="77">
        <v>0</v>
      </c>
      <c r="F36" s="77"/>
      <c r="G36" s="365"/>
      <c r="H36" s="90">
        <f>SUM(C36:E36)</f>
        <v>0</v>
      </c>
      <c r="I36" s="366"/>
      <c r="J36" s="90"/>
      <c r="K36" s="90"/>
      <c r="L36" s="90"/>
      <c r="M36" s="90"/>
      <c r="O36" s="375"/>
    </row>
    <row r="37" spans="1:15" s="83" customFormat="1" ht="15" customHeight="1">
      <c r="A37" s="86" t="s">
        <v>25</v>
      </c>
      <c r="B37" s="77"/>
      <c r="C37" s="77">
        <v>0</v>
      </c>
      <c r="D37" s="77">
        <v>0</v>
      </c>
      <c r="E37" s="77">
        <v>0</v>
      </c>
      <c r="F37" s="77"/>
      <c r="G37" s="365"/>
      <c r="H37" s="90">
        <f>SUM(C37:E37)</f>
        <v>0</v>
      </c>
      <c r="I37" s="366"/>
      <c r="J37" s="90"/>
      <c r="K37" s="90"/>
      <c r="L37" s="90"/>
      <c r="M37" s="90"/>
      <c r="O37" s="375"/>
    </row>
    <row r="38" spans="1:15" s="83" customFormat="1" ht="15" customHeight="1">
      <c r="A38" s="86" t="s">
        <v>26</v>
      </c>
      <c r="B38" s="77"/>
      <c r="C38" s="77">
        <v>0</v>
      </c>
      <c r="D38" s="77">
        <v>0</v>
      </c>
      <c r="E38" s="77">
        <v>0</v>
      </c>
      <c r="F38" s="77"/>
      <c r="G38" s="365"/>
      <c r="H38" s="90">
        <f>SUM(C38:E38)</f>
        <v>0</v>
      </c>
      <c r="I38" s="366"/>
      <c r="J38" s="90"/>
      <c r="K38" s="90">
        <v>305000000</v>
      </c>
      <c r="L38" s="90"/>
      <c r="M38" s="90">
        <f>60552000</f>
        <v>60552000</v>
      </c>
      <c r="O38" s="375">
        <f>K38+M38</f>
        <v>365552000</v>
      </c>
    </row>
    <row r="39" spans="1:15" s="83" customFormat="1" ht="7.5" customHeight="1">
      <c r="A39" s="86"/>
      <c r="B39" s="77"/>
      <c r="C39" s="77"/>
      <c r="D39" s="77"/>
      <c r="E39" s="77"/>
      <c r="F39" s="77"/>
      <c r="G39" s="365"/>
      <c r="H39" s="89"/>
      <c r="I39" s="367"/>
      <c r="J39" s="89"/>
      <c r="K39" s="89"/>
      <c r="L39" s="89"/>
      <c r="M39" s="89"/>
      <c r="O39" s="375"/>
    </row>
    <row r="40" spans="1:15" s="83" customFormat="1" ht="15" customHeight="1" thickBot="1">
      <c r="A40" s="88" t="s">
        <v>27</v>
      </c>
      <c r="B40" s="88"/>
      <c r="C40" s="79">
        <f>SUM(C32:C38)</f>
        <v>9700000</v>
      </c>
      <c r="D40" s="79">
        <f>SUM(D32:D38)</f>
        <v>7228000</v>
      </c>
      <c r="E40" s="79">
        <f>SUM(E32:E38)</f>
        <v>6565000</v>
      </c>
      <c r="F40" s="79"/>
      <c r="G40" s="377"/>
      <c r="H40" s="79">
        <f>SUM(H32:H38)</f>
        <v>23493000</v>
      </c>
      <c r="I40" s="378"/>
      <c r="J40" s="87"/>
      <c r="K40" s="79">
        <f>SUM(K32:K38)</f>
        <v>305000000</v>
      </c>
      <c r="L40" s="79"/>
      <c r="M40" s="79">
        <f>SUM(M32:M38)</f>
        <v>60552000</v>
      </c>
      <c r="N40" s="169"/>
      <c r="O40" s="379">
        <f>SUM(O32:O38)</f>
        <v>365552000</v>
      </c>
    </row>
    <row r="41" spans="1:13" s="175" customFormat="1" ht="17.25" customHeight="1">
      <c r="A41" s="172"/>
      <c r="B41" s="172"/>
      <c r="C41" s="173"/>
      <c r="D41" s="174"/>
      <c r="E41" s="174"/>
      <c r="F41" s="174"/>
      <c r="G41" s="174"/>
      <c r="J41" s="123"/>
      <c r="K41" s="177"/>
      <c r="L41" s="177"/>
      <c r="M41" s="123"/>
    </row>
    <row r="42" spans="1:13" s="83" customFormat="1" ht="18.75" customHeight="1">
      <c r="A42" s="171" t="s">
        <v>162</v>
      </c>
      <c r="B42" s="170"/>
      <c r="C42" s="170"/>
      <c r="D42" s="170"/>
      <c r="E42" s="170"/>
      <c r="F42" s="170"/>
      <c r="G42" s="170"/>
      <c r="H42" s="170"/>
      <c r="I42" s="146"/>
      <c r="J42" s="184"/>
      <c r="K42" s="162"/>
      <c r="L42" s="170"/>
      <c r="M42" s="122"/>
    </row>
    <row r="43" spans="1:13" s="83" customFormat="1" ht="18.75" customHeight="1">
      <c r="A43" s="171" t="s">
        <v>131</v>
      </c>
      <c r="B43" s="170"/>
      <c r="C43" s="170"/>
      <c r="D43" s="170"/>
      <c r="E43" s="170"/>
      <c r="F43" s="170"/>
      <c r="G43" s="170"/>
      <c r="H43" s="170"/>
      <c r="I43" s="170"/>
      <c r="J43" s="184"/>
      <c r="K43" s="170"/>
      <c r="L43" s="170"/>
      <c r="M43" s="122"/>
    </row>
    <row r="44" spans="1:13" s="83" customFormat="1" ht="15">
      <c r="A44" s="85"/>
      <c r="B44" s="84"/>
      <c r="D44" s="82"/>
      <c r="E44" s="82"/>
      <c r="F44" s="82"/>
      <c r="G44" s="82"/>
      <c r="J44" s="122"/>
      <c r="M44" s="122"/>
    </row>
    <row r="45" spans="1:13" s="83" customFormat="1" ht="15">
      <c r="A45" s="85"/>
      <c r="B45" s="84"/>
      <c r="D45" s="82"/>
      <c r="E45" s="82"/>
      <c r="F45" s="82"/>
      <c r="G45" s="82"/>
      <c r="J45" s="122"/>
      <c r="M45" s="122"/>
    </row>
  </sheetData>
  <sheetProtection/>
  <mergeCells count="4">
    <mergeCell ref="G6:I6"/>
    <mergeCell ref="C4:H4"/>
    <mergeCell ref="G5:I5"/>
    <mergeCell ref="K4:K5"/>
  </mergeCells>
  <printOptions/>
  <pageMargins left="0.5" right="0.25" top="0.25" bottom="0.25" header="0.5" footer="0.5"/>
  <pageSetup fitToHeight="1" fitToWidth="1" horizontalDpi="600" verticalDpi="600" orientation="landscape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5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3" sqref="A3"/>
    </sheetView>
  </sheetViews>
  <sheetFormatPr defaultColWidth="9.33203125" defaultRowHeight="12.75"/>
  <cols>
    <col min="1" max="1" width="36.16015625" style="125" customWidth="1"/>
    <col min="2" max="2" width="14.66015625" style="125" bestFit="1" customWidth="1"/>
    <col min="3" max="3" width="31.16015625" style="126" customWidth="1"/>
    <col min="4" max="4" width="14.5" style="125" bestFit="1" customWidth="1"/>
    <col min="5" max="5" width="3.16015625" style="125" customWidth="1"/>
    <col min="6" max="6" width="14.5" style="125" bestFit="1" customWidth="1"/>
    <col min="7" max="7" width="3.16015625" style="125" customWidth="1"/>
    <col min="8" max="8" width="14.5" style="125" bestFit="1" customWidth="1"/>
    <col min="9" max="9" width="3.5" style="125" customWidth="1"/>
    <col min="10" max="10" width="14.5" style="126" bestFit="1" customWidth="1"/>
    <col min="11" max="11" width="9.33203125" style="125" customWidth="1"/>
    <col min="12" max="12" width="17" style="125" bestFit="1" customWidth="1"/>
    <col min="13" max="13" width="15.83203125" style="125" bestFit="1" customWidth="1"/>
    <col min="14" max="14" width="17" style="125" bestFit="1" customWidth="1"/>
    <col min="15" max="16384" width="9.33203125" style="125" customWidth="1"/>
  </cols>
  <sheetData>
    <row r="1" ht="16.5">
      <c r="A1" s="124" t="s">
        <v>135</v>
      </c>
    </row>
    <row r="2" ht="15.75">
      <c r="A2" s="127" t="s">
        <v>163</v>
      </c>
    </row>
    <row r="3" ht="15.75">
      <c r="A3" s="157"/>
    </row>
    <row r="4" spans="1:10" s="126" customFormat="1" ht="21" customHeight="1">
      <c r="A4" s="128"/>
      <c r="B4" s="129"/>
      <c r="C4" s="128"/>
      <c r="D4" s="404" t="s">
        <v>37</v>
      </c>
      <c r="E4" s="404"/>
      <c r="F4" s="404"/>
      <c r="G4" s="404"/>
      <c r="H4" s="404"/>
      <c r="I4" s="404"/>
      <c r="J4" s="404"/>
    </row>
    <row r="5" spans="1:10" s="131" customFormat="1" ht="50.25">
      <c r="A5" s="130" t="s">
        <v>38</v>
      </c>
      <c r="B5" s="380" t="s">
        <v>39</v>
      </c>
      <c r="C5" s="130"/>
      <c r="D5" s="185">
        <v>40360</v>
      </c>
      <c r="E5" s="185"/>
      <c r="F5" s="185">
        <v>40452</v>
      </c>
      <c r="G5" s="185"/>
      <c r="H5" s="185">
        <v>40544</v>
      </c>
      <c r="I5" s="185"/>
      <c r="J5" s="185">
        <v>40634</v>
      </c>
    </row>
    <row r="6" spans="1:9" ht="15.75">
      <c r="A6" s="132"/>
      <c r="B6" s="381"/>
      <c r="D6" s="126"/>
      <c r="E6" s="126"/>
      <c r="F6" s="126"/>
      <c r="G6" s="126"/>
      <c r="H6" s="126"/>
      <c r="I6" s="126"/>
    </row>
    <row r="7" spans="1:10" ht="15.75">
      <c r="A7" s="133" t="s">
        <v>0</v>
      </c>
      <c r="B7" s="382">
        <v>122500</v>
      </c>
      <c r="C7" s="133"/>
      <c r="D7" s="133">
        <f>ROUND(B7/4,2)</f>
        <v>30625</v>
      </c>
      <c r="E7" s="133"/>
      <c r="F7" s="133">
        <f aca="true" t="shared" si="0" ref="F7:F29">D7</f>
        <v>30625</v>
      </c>
      <c r="G7" s="133"/>
      <c r="H7" s="133">
        <f aca="true" t="shared" si="1" ref="H7:H29">F7</f>
        <v>30625</v>
      </c>
      <c r="I7" s="133"/>
      <c r="J7" s="133">
        <f aca="true" t="shared" si="2" ref="J7:J29">H7</f>
        <v>30625</v>
      </c>
    </row>
    <row r="8" spans="1:10" ht="15.75">
      <c r="A8" s="134" t="s">
        <v>1</v>
      </c>
      <c r="B8" s="383">
        <v>55200</v>
      </c>
      <c r="C8" s="135"/>
      <c r="D8" s="135">
        <f aca="true" t="shared" si="3" ref="D8:D29">ROUND(B8/4,2)</f>
        <v>13800</v>
      </c>
      <c r="E8" s="135"/>
      <c r="F8" s="135">
        <f t="shared" si="0"/>
        <v>13800</v>
      </c>
      <c r="G8" s="135"/>
      <c r="H8" s="135">
        <f t="shared" si="1"/>
        <v>13800</v>
      </c>
      <c r="I8" s="135"/>
      <c r="J8" s="135">
        <f t="shared" si="2"/>
        <v>13800</v>
      </c>
    </row>
    <row r="9" spans="1:10" ht="15.75">
      <c r="A9" s="134" t="s">
        <v>2</v>
      </c>
      <c r="B9" s="383">
        <v>269300</v>
      </c>
      <c r="C9" s="135"/>
      <c r="D9" s="135">
        <f t="shared" si="3"/>
        <v>67325</v>
      </c>
      <c r="E9" s="135"/>
      <c r="F9" s="135">
        <f t="shared" si="0"/>
        <v>67325</v>
      </c>
      <c r="G9" s="135"/>
      <c r="H9" s="135">
        <f t="shared" si="1"/>
        <v>67325</v>
      </c>
      <c r="I9" s="135"/>
      <c r="J9" s="135">
        <f t="shared" si="2"/>
        <v>67325</v>
      </c>
    </row>
    <row r="10" spans="1:10" ht="15.75">
      <c r="A10" s="134" t="s">
        <v>3</v>
      </c>
      <c r="B10" s="383">
        <v>189500</v>
      </c>
      <c r="C10" s="135"/>
      <c r="D10" s="135">
        <f t="shared" si="3"/>
        <v>47375</v>
      </c>
      <c r="E10" s="135"/>
      <c r="F10" s="135">
        <f t="shared" si="0"/>
        <v>47375</v>
      </c>
      <c r="G10" s="135"/>
      <c r="H10" s="135">
        <f t="shared" si="1"/>
        <v>47375</v>
      </c>
      <c r="I10" s="135"/>
      <c r="J10" s="135">
        <f t="shared" si="2"/>
        <v>47375</v>
      </c>
    </row>
    <row r="11" spans="1:10" ht="15.75">
      <c r="A11" s="134" t="s">
        <v>29</v>
      </c>
      <c r="B11" s="383">
        <v>274800</v>
      </c>
      <c r="C11" s="135"/>
      <c r="D11" s="135">
        <f t="shared" si="3"/>
        <v>68700</v>
      </c>
      <c r="E11" s="135"/>
      <c r="F11" s="135">
        <f t="shared" si="0"/>
        <v>68700</v>
      </c>
      <c r="G11" s="135"/>
      <c r="H11" s="135">
        <f t="shared" si="1"/>
        <v>68700</v>
      </c>
      <c r="I11" s="135"/>
      <c r="J11" s="135">
        <f t="shared" si="2"/>
        <v>68700</v>
      </c>
    </row>
    <row r="12" spans="1:10" ht="15.75">
      <c r="A12" s="134" t="s">
        <v>4</v>
      </c>
      <c r="B12" s="383">
        <v>359700</v>
      </c>
      <c r="C12" s="135"/>
      <c r="D12" s="135">
        <f t="shared" si="3"/>
        <v>89925</v>
      </c>
      <c r="E12" s="135"/>
      <c r="F12" s="135">
        <f t="shared" si="0"/>
        <v>89925</v>
      </c>
      <c r="G12" s="135"/>
      <c r="H12" s="135">
        <f t="shared" si="1"/>
        <v>89925</v>
      </c>
      <c r="I12" s="135"/>
      <c r="J12" s="135">
        <f t="shared" si="2"/>
        <v>89925</v>
      </c>
    </row>
    <row r="13" spans="1:10" ht="15.75">
      <c r="A13" s="134" t="s">
        <v>5</v>
      </c>
      <c r="B13" s="383">
        <v>603700</v>
      </c>
      <c r="C13" s="135"/>
      <c r="D13" s="135">
        <f t="shared" si="3"/>
        <v>150925</v>
      </c>
      <c r="E13" s="135"/>
      <c r="F13" s="135">
        <f t="shared" si="0"/>
        <v>150925</v>
      </c>
      <c r="G13" s="135"/>
      <c r="H13" s="135">
        <f t="shared" si="1"/>
        <v>150925</v>
      </c>
      <c r="I13" s="135"/>
      <c r="J13" s="135">
        <f t="shared" si="2"/>
        <v>150925</v>
      </c>
    </row>
    <row r="14" spans="1:10" ht="15.75">
      <c r="A14" s="134" t="s">
        <v>6</v>
      </c>
      <c r="B14" s="383">
        <v>132500</v>
      </c>
      <c r="C14" s="135"/>
      <c r="D14" s="135">
        <f t="shared" si="3"/>
        <v>33125</v>
      </c>
      <c r="E14" s="135"/>
      <c r="F14" s="135">
        <f t="shared" si="0"/>
        <v>33125</v>
      </c>
      <c r="G14" s="135"/>
      <c r="H14" s="135">
        <f t="shared" si="1"/>
        <v>33125</v>
      </c>
      <c r="I14" s="135"/>
      <c r="J14" s="135">
        <f t="shared" si="2"/>
        <v>33125</v>
      </c>
    </row>
    <row r="15" spans="1:10" ht="15.75">
      <c r="A15" s="134" t="s">
        <v>7</v>
      </c>
      <c r="B15" s="383">
        <v>619300</v>
      </c>
      <c r="C15" s="135"/>
      <c r="D15" s="135">
        <f t="shared" si="3"/>
        <v>154825</v>
      </c>
      <c r="E15" s="135"/>
      <c r="F15" s="135">
        <f t="shared" si="0"/>
        <v>154825</v>
      </c>
      <c r="G15" s="135"/>
      <c r="H15" s="135">
        <f t="shared" si="1"/>
        <v>154825</v>
      </c>
      <c r="I15" s="135"/>
      <c r="J15" s="135">
        <f t="shared" si="2"/>
        <v>154825</v>
      </c>
    </row>
    <row r="16" spans="1:10" ht="15.75">
      <c r="A16" s="134" t="s">
        <v>8</v>
      </c>
      <c r="B16" s="383">
        <v>355300</v>
      </c>
      <c r="C16" s="135"/>
      <c r="D16" s="135">
        <f t="shared" si="3"/>
        <v>88825</v>
      </c>
      <c r="E16" s="135"/>
      <c r="F16" s="135">
        <f t="shared" si="0"/>
        <v>88825</v>
      </c>
      <c r="G16" s="135"/>
      <c r="H16" s="135">
        <f t="shared" si="1"/>
        <v>88825</v>
      </c>
      <c r="I16" s="135"/>
      <c r="J16" s="135">
        <f t="shared" si="2"/>
        <v>88825</v>
      </c>
    </row>
    <row r="17" spans="1:10" ht="15.75">
      <c r="A17" s="134" t="s">
        <v>9</v>
      </c>
      <c r="B17" s="383">
        <v>23500</v>
      </c>
      <c r="C17" s="135"/>
      <c r="D17" s="135">
        <f t="shared" si="3"/>
        <v>5875</v>
      </c>
      <c r="E17" s="135"/>
      <c r="F17" s="135">
        <f t="shared" si="0"/>
        <v>5875</v>
      </c>
      <c r="G17" s="135"/>
      <c r="H17" s="135">
        <f t="shared" si="1"/>
        <v>5875</v>
      </c>
      <c r="I17" s="135"/>
      <c r="J17" s="135">
        <f t="shared" si="2"/>
        <v>5875</v>
      </c>
    </row>
    <row r="18" spans="1:10" ht="15.75">
      <c r="A18" s="134" t="s">
        <v>10</v>
      </c>
      <c r="B18" s="383">
        <v>64300</v>
      </c>
      <c r="C18" s="135"/>
      <c r="D18" s="135">
        <f t="shared" si="3"/>
        <v>16075</v>
      </c>
      <c r="E18" s="135"/>
      <c r="F18" s="135">
        <f t="shared" si="0"/>
        <v>16075</v>
      </c>
      <c r="G18" s="135"/>
      <c r="H18" s="135">
        <f t="shared" si="1"/>
        <v>16075</v>
      </c>
      <c r="I18" s="135"/>
      <c r="J18" s="135">
        <f t="shared" si="2"/>
        <v>16075</v>
      </c>
    </row>
    <row r="19" spans="1:10" ht="15.75">
      <c r="A19" s="134" t="s">
        <v>11</v>
      </c>
      <c r="B19" s="383">
        <v>593000</v>
      </c>
      <c r="C19" s="135"/>
      <c r="D19" s="135">
        <f t="shared" si="3"/>
        <v>148250</v>
      </c>
      <c r="E19" s="135"/>
      <c r="F19" s="135">
        <f t="shared" si="0"/>
        <v>148250</v>
      </c>
      <c r="G19" s="135"/>
      <c r="H19" s="135">
        <f t="shared" si="1"/>
        <v>148250</v>
      </c>
      <c r="I19" s="135"/>
      <c r="J19" s="135">
        <f t="shared" si="2"/>
        <v>148250</v>
      </c>
    </row>
    <row r="20" spans="1:10" ht="15.75">
      <c r="A20" s="134" t="s">
        <v>12</v>
      </c>
      <c r="B20" s="383">
        <v>329700</v>
      </c>
      <c r="C20" s="135"/>
      <c r="D20" s="135">
        <f t="shared" si="3"/>
        <v>82425</v>
      </c>
      <c r="E20" s="135"/>
      <c r="F20" s="135">
        <f t="shared" si="0"/>
        <v>82425</v>
      </c>
      <c r="G20" s="135"/>
      <c r="H20" s="135">
        <f t="shared" si="1"/>
        <v>82425</v>
      </c>
      <c r="I20" s="135"/>
      <c r="J20" s="135">
        <f t="shared" si="2"/>
        <v>82425</v>
      </c>
    </row>
    <row r="21" spans="1:10" ht="15.75">
      <c r="A21" s="134" t="s">
        <v>13</v>
      </c>
      <c r="B21" s="383">
        <v>451000</v>
      </c>
      <c r="C21" s="135"/>
      <c r="D21" s="135">
        <f t="shared" si="3"/>
        <v>112750</v>
      </c>
      <c r="E21" s="135"/>
      <c r="F21" s="135">
        <f t="shared" si="0"/>
        <v>112750</v>
      </c>
      <c r="G21" s="135"/>
      <c r="H21" s="135">
        <f t="shared" si="1"/>
        <v>112750</v>
      </c>
      <c r="I21" s="135"/>
      <c r="J21" s="135">
        <f t="shared" si="2"/>
        <v>112750</v>
      </c>
    </row>
    <row r="22" spans="1:10" ht="15.75">
      <c r="A22" s="134" t="s">
        <v>14</v>
      </c>
      <c r="B22" s="383">
        <v>297900</v>
      </c>
      <c r="C22" s="135"/>
      <c r="D22" s="135">
        <f t="shared" si="3"/>
        <v>74475</v>
      </c>
      <c r="E22" s="135"/>
      <c r="F22" s="135">
        <f t="shared" si="0"/>
        <v>74475</v>
      </c>
      <c r="G22" s="135"/>
      <c r="H22" s="135">
        <f t="shared" si="1"/>
        <v>74475</v>
      </c>
      <c r="I22" s="135"/>
      <c r="J22" s="135">
        <f t="shared" si="2"/>
        <v>74475</v>
      </c>
    </row>
    <row r="23" spans="1:10" ht="15.75">
      <c r="A23" s="134" t="s">
        <v>15</v>
      </c>
      <c r="B23" s="383">
        <v>608200</v>
      </c>
      <c r="C23" s="135"/>
      <c r="D23" s="135">
        <f t="shared" si="3"/>
        <v>152050</v>
      </c>
      <c r="E23" s="135"/>
      <c r="F23" s="135">
        <f t="shared" si="0"/>
        <v>152050</v>
      </c>
      <c r="G23" s="135"/>
      <c r="H23" s="135">
        <f t="shared" si="1"/>
        <v>152050</v>
      </c>
      <c r="I23" s="135"/>
      <c r="J23" s="135">
        <f t="shared" si="2"/>
        <v>152050</v>
      </c>
    </row>
    <row r="24" spans="1:10" ht="15.75">
      <c r="A24" s="134" t="s">
        <v>16</v>
      </c>
      <c r="B24" s="383">
        <v>542400</v>
      </c>
      <c r="C24" s="135"/>
      <c r="D24" s="135">
        <f t="shared" si="3"/>
        <v>135600</v>
      </c>
      <c r="E24" s="135"/>
      <c r="F24" s="135">
        <f t="shared" si="0"/>
        <v>135600</v>
      </c>
      <c r="G24" s="135"/>
      <c r="H24" s="135">
        <f t="shared" si="1"/>
        <v>135600</v>
      </c>
      <c r="I24" s="135"/>
      <c r="J24" s="135">
        <f t="shared" si="2"/>
        <v>135600</v>
      </c>
    </row>
    <row r="25" spans="1:10" ht="15.75">
      <c r="A25" s="134" t="s">
        <v>17</v>
      </c>
      <c r="B25" s="383">
        <v>538500</v>
      </c>
      <c r="C25" s="135"/>
      <c r="D25" s="135">
        <f t="shared" si="3"/>
        <v>134625</v>
      </c>
      <c r="E25" s="135"/>
      <c r="F25" s="135">
        <f t="shared" si="0"/>
        <v>134625</v>
      </c>
      <c r="G25" s="135"/>
      <c r="H25" s="135">
        <f t="shared" si="1"/>
        <v>134625</v>
      </c>
      <c r="I25" s="135"/>
      <c r="J25" s="135">
        <f t="shared" si="2"/>
        <v>134625</v>
      </c>
    </row>
    <row r="26" spans="1:10" ht="15.75">
      <c r="A26" s="134" t="s">
        <v>18</v>
      </c>
      <c r="B26" s="383">
        <v>398000</v>
      </c>
      <c r="C26" s="135"/>
      <c r="D26" s="135">
        <f t="shared" si="3"/>
        <v>99500</v>
      </c>
      <c r="E26" s="135"/>
      <c r="F26" s="135">
        <f t="shared" si="0"/>
        <v>99500</v>
      </c>
      <c r="G26" s="135"/>
      <c r="H26" s="135">
        <f t="shared" si="1"/>
        <v>99500</v>
      </c>
      <c r="I26" s="135"/>
      <c r="J26" s="135">
        <f t="shared" si="2"/>
        <v>99500</v>
      </c>
    </row>
    <row r="27" spans="1:10" ht="15.75">
      <c r="A27" s="134" t="s">
        <v>19</v>
      </c>
      <c r="B27" s="383">
        <v>145600</v>
      </c>
      <c r="C27" s="135"/>
      <c r="D27" s="135">
        <f t="shared" si="3"/>
        <v>36400</v>
      </c>
      <c r="E27" s="135"/>
      <c r="F27" s="135">
        <f t="shared" si="0"/>
        <v>36400</v>
      </c>
      <c r="G27" s="135"/>
      <c r="H27" s="135">
        <f t="shared" si="1"/>
        <v>36400</v>
      </c>
      <c r="I27" s="135"/>
      <c r="J27" s="135">
        <f t="shared" si="2"/>
        <v>36400</v>
      </c>
    </row>
    <row r="28" spans="1:10" ht="15.75">
      <c r="A28" s="134" t="s">
        <v>20</v>
      </c>
      <c r="B28" s="383">
        <v>132500</v>
      </c>
      <c r="C28" s="135"/>
      <c r="D28" s="135">
        <f t="shared" si="3"/>
        <v>33125</v>
      </c>
      <c r="E28" s="135"/>
      <c r="F28" s="135">
        <f t="shared" si="0"/>
        <v>33125</v>
      </c>
      <c r="G28" s="135"/>
      <c r="H28" s="135">
        <f t="shared" si="1"/>
        <v>33125</v>
      </c>
      <c r="I28" s="135"/>
      <c r="J28" s="135">
        <f t="shared" si="2"/>
        <v>33125</v>
      </c>
    </row>
    <row r="29" spans="1:10" ht="15.75">
      <c r="A29" s="134" t="s">
        <v>21</v>
      </c>
      <c r="B29" s="384">
        <v>133100</v>
      </c>
      <c r="C29" s="135"/>
      <c r="D29" s="136">
        <f t="shared" si="3"/>
        <v>33275</v>
      </c>
      <c r="E29" s="135"/>
      <c r="F29" s="136">
        <f t="shared" si="0"/>
        <v>33275</v>
      </c>
      <c r="G29" s="135"/>
      <c r="H29" s="136">
        <f t="shared" si="1"/>
        <v>33275</v>
      </c>
      <c r="I29" s="135"/>
      <c r="J29" s="136">
        <f t="shared" si="2"/>
        <v>33275</v>
      </c>
    </row>
    <row r="30" spans="1:9" ht="9" customHeight="1">
      <c r="A30" s="134"/>
      <c r="B30" s="381"/>
      <c r="D30" s="126"/>
      <c r="E30" s="126"/>
      <c r="F30" s="126"/>
      <c r="G30" s="126"/>
      <c r="H30" s="126"/>
      <c r="I30" s="126"/>
    </row>
    <row r="31" spans="1:10" s="138" customFormat="1" ht="15.75">
      <c r="A31" s="137" t="s">
        <v>40</v>
      </c>
      <c r="B31" s="385">
        <f>SUM(B7:B29)</f>
        <v>7239500</v>
      </c>
      <c r="C31" s="137"/>
      <c r="D31" s="137">
        <f>SUM(D7:D30)</f>
        <v>1809875</v>
      </c>
      <c r="E31" s="137"/>
      <c r="F31" s="137">
        <f>SUM(F7:F30)</f>
        <v>1809875</v>
      </c>
      <c r="G31" s="137"/>
      <c r="H31" s="137">
        <f>SUM(H7:H30)</f>
        <v>1809875</v>
      </c>
      <c r="I31" s="137"/>
      <c r="J31" s="137">
        <f>SUM(J7:J30)</f>
        <v>1809875</v>
      </c>
    </row>
    <row r="32" spans="1:14" ht="15.75">
      <c r="A32" s="134"/>
      <c r="B32" s="126"/>
      <c r="D32" s="126"/>
      <c r="E32" s="126"/>
      <c r="F32" s="126"/>
      <c r="G32" s="126"/>
      <c r="H32" s="126"/>
      <c r="I32" s="126"/>
      <c r="L32" s="158"/>
      <c r="M32" s="158"/>
      <c r="N32" s="158"/>
    </row>
    <row r="33" spans="12:14" ht="15.75">
      <c r="L33" s="159"/>
      <c r="M33" s="159"/>
      <c r="N33" s="159"/>
    </row>
    <row r="34" spans="1:10" ht="49.5" customHeight="1">
      <c r="A34" s="405" t="s">
        <v>160</v>
      </c>
      <c r="B34" s="406"/>
      <c r="C34" s="406"/>
      <c r="D34" s="406"/>
      <c r="E34" s="406"/>
      <c r="F34" s="406"/>
      <c r="G34" s="406"/>
      <c r="H34" s="406"/>
      <c r="I34" s="406"/>
      <c r="J34" s="406"/>
    </row>
    <row r="35" spans="1:10" ht="30.75" customHeight="1">
      <c r="A35" s="407" t="s">
        <v>52</v>
      </c>
      <c r="B35" s="407"/>
      <c r="C35" s="407"/>
      <c r="D35" s="407"/>
      <c r="E35" s="407"/>
      <c r="F35" s="407"/>
      <c r="G35" s="407"/>
      <c r="H35" s="407"/>
      <c r="I35" s="407"/>
      <c r="J35" s="407"/>
    </row>
  </sheetData>
  <sheetProtection/>
  <mergeCells count="3">
    <mergeCell ref="D4:J4"/>
    <mergeCell ref="A34:J34"/>
    <mergeCell ref="A35:J35"/>
  </mergeCells>
  <printOptions/>
  <pageMargins left="0.75" right="0.5" top="0.5" bottom="0.5" header="0.5" footer="0.5"/>
  <pageSetup fitToHeight="1" fitToWidth="1" horizontalDpi="600" verticalDpi="600" orientation="landscape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46"/>
  <sheetViews>
    <sheetView zoomScalePageLayoutView="0" workbookViewId="0" topLeftCell="Q1">
      <pane ySplit="5" topLeftCell="A15" activePane="bottomLeft" state="frozen"/>
      <selection pane="topLeft" activeCell="A1" sqref="A1"/>
      <selection pane="bottomLeft" activeCell="D25" sqref="D25"/>
    </sheetView>
  </sheetViews>
  <sheetFormatPr defaultColWidth="9.33203125" defaultRowHeight="12.75"/>
  <cols>
    <col min="1" max="1" width="24.16015625" style="258" customWidth="1"/>
    <col min="2" max="2" width="13.33203125" style="258" hidden="1" customWidth="1"/>
    <col min="3" max="3" width="12.83203125" style="258" bestFit="1" customWidth="1"/>
    <col min="4" max="4" width="16.5" style="258" customWidth="1"/>
    <col min="5" max="5" width="18" style="258" bestFit="1" customWidth="1"/>
    <col min="6" max="6" width="16.5" style="258" customWidth="1"/>
    <col min="7" max="7" width="4" style="311" customWidth="1"/>
    <col min="8" max="8" width="19.5" style="311" customWidth="1"/>
    <col min="9" max="9" width="3.83203125" style="311" customWidth="1"/>
    <col min="10" max="10" width="16.5" style="311" customWidth="1"/>
    <col min="11" max="11" width="17.33203125" style="311" customWidth="1"/>
    <col min="12" max="12" width="12.83203125" style="311" bestFit="1" customWidth="1"/>
    <col min="13" max="16" width="16.5" style="311" customWidth="1"/>
    <col min="17" max="17" width="17.83203125" style="311" customWidth="1"/>
    <col min="18" max="18" width="12.83203125" style="311" bestFit="1" customWidth="1"/>
    <col min="19" max="19" width="16.5" style="311" customWidth="1"/>
    <col min="20" max="20" width="17.83203125" style="311" bestFit="1" customWidth="1"/>
    <col min="21" max="23" width="16.5" style="311" customWidth="1"/>
    <col min="24" max="24" width="18.33203125" style="311" bestFit="1" customWidth="1"/>
    <col min="25" max="25" width="19.16015625" style="311" customWidth="1"/>
    <col min="26" max="27" width="18.33203125" style="311" customWidth="1"/>
    <col min="28" max="16384" width="9.33203125" style="258" customWidth="1"/>
  </cols>
  <sheetData>
    <row r="1" spans="3:27" s="300" customFormat="1" ht="16.5">
      <c r="C1" s="301" t="s">
        <v>159</v>
      </c>
      <c r="G1" s="305"/>
      <c r="H1" s="305"/>
      <c r="I1" s="305"/>
      <c r="J1" s="305"/>
      <c r="K1" s="305"/>
      <c r="L1" s="305"/>
      <c r="M1" s="305"/>
      <c r="N1" s="305"/>
      <c r="O1" s="305"/>
      <c r="P1" s="305"/>
      <c r="Q1" s="305"/>
      <c r="R1" s="306" t="s">
        <v>147</v>
      </c>
      <c r="S1" s="305"/>
      <c r="T1" s="305"/>
      <c r="U1" s="305"/>
      <c r="V1" s="305"/>
      <c r="W1" s="305"/>
      <c r="X1" s="305"/>
      <c r="Y1" s="305"/>
      <c r="Z1" s="305"/>
      <c r="AA1" s="307"/>
    </row>
    <row r="2" spans="1:27" s="297" customFormat="1" ht="19.5">
      <c r="A2" s="299"/>
      <c r="B2" s="299"/>
      <c r="C2" s="298"/>
      <c r="G2" s="308"/>
      <c r="H2" s="309"/>
      <c r="I2" s="309"/>
      <c r="J2" s="309"/>
      <c r="K2" s="309"/>
      <c r="L2" s="308"/>
      <c r="M2" s="308"/>
      <c r="N2" s="308"/>
      <c r="O2" s="309"/>
      <c r="P2" s="309"/>
      <c r="Q2" s="309"/>
      <c r="R2" s="308"/>
      <c r="S2" s="308"/>
      <c r="T2" s="308"/>
      <c r="U2" s="308"/>
      <c r="V2" s="308"/>
      <c r="W2" s="309"/>
      <c r="X2" s="308"/>
      <c r="Y2" s="308"/>
      <c r="Z2" s="308"/>
      <c r="AA2" s="310"/>
    </row>
    <row r="3" spans="1:27" ht="15.75" customHeight="1" thickBot="1">
      <c r="A3" s="296"/>
      <c r="B3" s="303" t="s">
        <v>139</v>
      </c>
      <c r="D3" s="186">
        <v>-1</v>
      </c>
      <c r="E3" s="186">
        <v>-2</v>
      </c>
      <c r="F3" s="186">
        <v>-3</v>
      </c>
      <c r="G3" s="186"/>
      <c r="H3" s="186">
        <v>-4</v>
      </c>
      <c r="I3" s="186"/>
      <c r="J3" s="186">
        <v>-5</v>
      </c>
      <c r="K3" s="186">
        <v>-6</v>
      </c>
      <c r="M3" s="186">
        <v>-7</v>
      </c>
      <c r="N3" s="186">
        <v>-8</v>
      </c>
      <c r="O3" s="186">
        <v>-9</v>
      </c>
      <c r="P3" s="186">
        <v>-10</v>
      </c>
      <c r="Q3" s="186">
        <v>-11</v>
      </c>
      <c r="R3" s="186"/>
      <c r="S3" s="186">
        <v>-12</v>
      </c>
      <c r="T3" s="186">
        <v>-13</v>
      </c>
      <c r="U3" s="186">
        <v>-14</v>
      </c>
      <c r="V3" s="186">
        <v>-15</v>
      </c>
      <c r="W3" s="186">
        <v>-16</v>
      </c>
      <c r="X3" s="186">
        <v>-17</v>
      </c>
      <c r="Y3" s="186">
        <v>-18</v>
      </c>
      <c r="Z3" s="186">
        <v>-19</v>
      </c>
      <c r="AA3" s="186">
        <v>-20</v>
      </c>
    </row>
    <row r="4" spans="1:27" ht="16.5" thickBot="1">
      <c r="A4" s="295"/>
      <c r="B4" s="295"/>
      <c r="C4" s="415" t="s">
        <v>76</v>
      </c>
      <c r="D4" s="416"/>
      <c r="E4" s="416"/>
      <c r="F4" s="416"/>
      <c r="G4" s="416"/>
      <c r="H4" s="416"/>
      <c r="I4" s="416"/>
      <c r="J4" s="416"/>
      <c r="K4" s="417"/>
      <c r="L4" s="412" t="s">
        <v>82</v>
      </c>
      <c r="M4" s="413"/>
      <c r="N4" s="413"/>
      <c r="O4" s="413"/>
      <c r="P4" s="413"/>
      <c r="Q4" s="414"/>
      <c r="R4" s="418" t="s">
        <v>77</v>
      </c>
      <c r="S4" s="419"/>
      <c r="T4" s="419"/>
      <c r="U4" s="419"/>
      <c r="V4" s="419"/>
      <c r="W4" s="419"/>
      <c r="X4" s="420"/>
      <c r="Y4" s="409" t="s">
        <v>125</v>
      </c>
      <c r="Z4" s="410"/>
      <c r="AA4" s="411"/>
    </row>
    <row r="5" spans="1:27" s="286" customFormat="1" ht="79.5" customHeight="1" thickBot="1">
      <c r="A5" s="294" t="s">
        <v>38</v>
      </c>
      <c r="B5" s="293" t="s">
        <v>138</v>
      </c>
      <c r="C5" s="293" t="s">
        <v>72</v>
      </c>
      <c r="D5" s="292" t="s">
        <v>80</v>
      </c>
      <c r="E5" s="291" t="s">
        <v>73</v>
      </c>
      <c r="F5" s="360" t="s">
        <v>153</v>
      </c>
      <c r="G5" s="312"/>
      <c r="H5" s="313" t="s">
        <v>111</v>
      </c>
      <c r="I5" s="313"/>
      <c r="J5" s="314" t="s">
        <v>158</v>
      </c>
      <c r="K5" s="388" t="s">
        <v>165</v>
      </c>
      <c r="L5" s="315" t="s">
        <v>83</v>
      </c>
      <c r="M5" s="316" t="s">
        <v>81</v>
      </c>
      <c r="N5" s="360" t="s">
        <v>153</v>
      </c>
      <c r="O5" s="313" t="s">
        <v>112</v>
      </c>
      <c r="P5" s="314" t="s">
        <v>158</v>
      </c>
      <c r="Q5" s="388" t="s">
        <v>165</v>
      </c>
      <c r="R5" s="317" t="s">
        <v>161</v>
      </c>
      <c r="S5" s="318" t="s">
        <v>78</v>
      </c>
      <c r="T5" s="314" t="s">
        <v>79</v>
      </c>
      <c r="U5" s="360" t="s">
        <v>153</v>
      </c>
      <c r="V5" s="313" t="s">
        <v>111</v>
      </c>
      <c r="W5" s="314" t="s">
        <v>158</v>
      </c>
      <c r="X5" s="388" t="s">
        <v>165</v>
      </c>
      <c r="Y5" s="319" t="s">
        <v>120</v>
      </c>
      <c r="Z5" s="314" t="s">
        <v>121</v>
      </c>
      <c r="AA5" s="320" t="s">
        <v>122</v>
      </c>
    </row>
    <row r="6" spans="1:27" s="286" customFormat="1" ht="24.75" customHeight="1">
      <c r="A6" s="289"/>
      <c r="B6" s="288"/>
      <c r="C6" s="290"/>
      <c r="D6" s="287"/>
      <c r="E6" s="287"/>
      <c r="F6" s="287"/>
      <c r="G6" s="408" t="s">
        <v>140</v>
      </c>
      <c r="H6" s="408"/>
      <c r="I6" s="408"/>
      <c r="J6" s="321"/>
      <c r="K6" s="322" t="s">
        <v>113</v>
      </c>
      <c r="L6" s="323"/>
      <c r="M6" s="321"/>
      <c r="N6" s="321"/>
      <c r="O6" s="252" t="s">
        <v>110</v>
      </c>
      <c r="P6" s="321"/>
      <c r="Q6" s="324" t="s">
        <v>114</v>
      </c>
      <c r="R6" s="323"/>
      <c r="S6" s="251" t="s">
        <v>115</v>
      </c>
      <c r="T6" s="252" t="s">
        <v>74</v>
      </c>
      <c r="U6" s="251" t="s">
        <v>116</v>
      </c>
      <c r="V6" s="251" t="s">
        <v>117</v>
      </c>
      <c r="W6" s="251" t="s">
        <v>118</v>
      </c>
      <c r="X6" s="359" t="s">
        <v>119</v>
      </c>
      <c r="Y6" s="325" t="s">
        <v>126</v>
      </c>
      <c r="Z6" s="251" t="s">
        <v>123</v>
      </c>
      <c r="AA6" s="326" t="s">
        <v>124</v>
      </c>
    </row>
    <row r="7" spans="1:27" s="286" customFormat="1" ht="6" customHeight="1">
      <c r="A7" s="289"/>
      <c r="B7" s="288"/>
      <c r="C7" s="288"/>
      <c r="D7" s="287"/>
      <c r="E7" s="287"/>
      <c r="F7" s="287"/>
      <c r="G7" s="321"/>
      <c r="H7" s="321"/>
      <c r="I7" s="321"/>
      <c r="J7" s="321"/>
      <c r="K7" s="321"/>
      <c r="L7" s="323"/>
      <c r="M7" s="321"/>
      <c r="N7" s="321"/>
      <c r="O7" s="321"/>
      <c r="P7" s="321"/>
      <c r="Q7" s="327"/>
      <c r="R7" s="323"/>
      <c r="S7" s="321"/>
      <c r="T7" s="321"/>
      <c r="U7" s="321"/>
      <c r="V7" s="321"/>
      <c r="W7" s="321"/>
      <c r="X7" s="327"/>
      <c r="Y7" s="323"/>
      <c r="Z7" s="321"/>
      <c r="AA7" s="327"/>
    </row>
    <row r="8" spans="1:27" ht="15">
      <c r="A8" s="275" t="s">
        <v>0</v>
      </c>
      <c r="B8" s="268">
        <v>6885</v>
      </c>
      <c r="C8" s="285">
        <v>6472</v>
      </c>
      <c r="D8" s="276">
        <v>-71000</v>
      </c>
      <c r="E8" s="276">
        <v>-1556000</v>
      </c>
      <c r="F8" s="276">
        <v>277000</v>
      </c>
      <c r="G8" s="328"/>
      <c r="H8" s="328">
        <f>-ROUND(((F8/3)/1000)*1000+((B8-C8)*-791),-3)+1000</f>
        <v>235000</v>
      </c>
      <c r="I8" s="328"/>
      <c r="J8" s="328">
        <v>2759000</v>
      </c>
      <c r="K8" s="329">
        <f aca="true" t="shared" si="0" ref="K8:K30">-ROUND((J8/3)/1000,0)*1000</f>
        <v>-920000</v>
      </c>
      <c r="L8" s="277">
        <v>98</v>
      </c>
      <c r="M8" s="328">
        <v>100000</v>
      </c>
      <c r="N8" s="328">
        <v>9000</v>
      </c>
      <c r="O8" s="328">
        <f aca="true" t="shared" si="1" ref="O8:O19">-ROUND(((N8)/3)/1000,0)*1000</f>
        <v>-3000</v>
      </c>
      <c r="P8" s="328">
        <v>40000</v>
      </c>
      <c r="Q8" s="330">
        <f aca="true" t="shared" si="2" ref="Q8:Q19">-ROUND((P8/3)/1000,0)*1000</f>
        <v>-13000</v>
      </c>
      <c r="R8" s="331">
        <f aca="true" t="shared" si="3" ref="R8:R30">C8+L8</f>
        <v>6570</v>
      </c>
      <c r="S8" s="328">
        <f aca="true" t="shared" si="4" ref="S8:S30">D8+M8</f>
        <v>29000</v>
      </c>
      <c r="T8" s="328">
        <f aca="true" t="shared" si="5" ref="T8:T30">E8</f>
        <v>-1556000</v>
      </c>
      <c r="U8" s="328">
        <f aca="true" t="shared" si="6" ref="U8:U30">F8+N8</f>
        <v>286000</v>
      </c>
      <c r="V8" s="328">
        <f aca="true" t="shared" si="7" ref="V8:V30">H8+O8</f>
        <v>232000</v>
      </c>
      <c r="W8" s="328">
        <f aca="true" t="shared" si="8" ref="W8:W30">J8+P8</f>
        <v>2799000</v>
      </c>
      <c r="X8" s="330">
        <f aca="true" t="shared" si="9" ref="X8:X30">K8+Q8</f>
        <v>-933000</v>
      </c>
      <c r="Y8" s="333">
        <f aca="true" t="shared" si="10" ref="Y8:Y30">S8+T8+U8+W8</f>
        <v>1558000</v>
      </c>
      <c r="Z8" s="332">
        <f aca="true" t="shared" si="11" ref="Z8:Z30">V8+X8</f>
        <v>-701000</v>
      </c>
      <c r="AA8" s="330">
        <f>Y8+Z8</f>
        <v>857000</v>
      </c>
    </row>
    <row r="9" spans="1:27" ht="15">
      <c r="A9" s="270" t="s">
        <v>1</v>
      </c>
      <c r="B9" s="268">
        <v>2467</v>
      </c>
      <c r="C9" s="268">
        <v>2467</v>
      </c>
      <c r="D9" s="267">
        <v>-419000</v>
      </c>
      <c r="E9" s="267">
        <v>0</v>
      </c>
      <c r="F9" s="267">
        <v>0</v>
      </c>
      <c r="G9" s="334"/>
      <c r="H9" s="334">
        <f>-ROUND(((F9/3)/1000)*1000+((B9-C9)*-791),-3)</f>
        <v>0</v>
      </c>
      <c r="I9" s="334"/>
      <c r="J9" s="334">
        <v>1089000</v>
      </c>
      <c r="K9" s="335">
        <f t="shared" si="0"/>
        <v>-363000</v>
      </c>
      <c r="L9" s="269">
        <v>10</v>
      </c>
      <c r="M9" s="334">
        <v>2000</v>
      </c>
      <c r="N9" s="334">
        <v>0</v>
      </c>
      <c r="O9" s="334">
        <f t="shared" si="1"/>
        <v>0</v>
      </c>
      <c r="P9" s="334">
        <v>5000</v>
      </c>
      <c r="Q9" s="336">
        <f t="shared" si="2"/>
        <v>-2000</v>
      </c>
      <c r="R9" s="269">
        <f t="shared" si="3"/>
        <v>2477</v>
      </c>
      <c r="S9" s="334">
        <f t="shared" si="4"/>
        <v>-417000</v>
      </c>
      <c r="T9" s="334">
        <f t="shared" si="5"/>
        <v>0</v>
      </c>
      <c r="U9" s="334">
        <f t="shared" si="6"/>
        <v>0</v>
      </c>
      <c r="V9" s="334">
        <f>H9+O9</f>
        <v>0</v>
      </c>
      <c r="W9" s="334">
        <f>J9+P9</f>
        <v>1094000</v>
      </c>
      <c r="X9" s="336">
        <f>K9+Q9</f>
        <v>-365000</v>
      </c>
      <c r="Y9" s="338">
        <f>S9+T9+U9+W9</f>
        <v>677000</v>
      </c>
      <c r="Z9" s="337">
        <f t="shared" si="11"/>
        <v>-365000</v>
      </c>
      <c r="AA9" s="336">
        <f aca="true" t="shared" si="12" ref="AA9:AA30">SUM(S9:X9)</f>
        <v>312000</v>
      </c>
    </row>
    <row r="10" spans="1:27" ht="15">
      <c r="A10" s="270" t="s">
        <v>2</v>
      </c>
      <c r="B10" s="268">
        <v>14712</v>
      </c>
      <c r="C10" s="268">
        <v>13314</v>
      </c>
      <c r="D10" s="267">
        <v>-439000</v>
      </c>
      <c r="E10" s="267">
        <v>-4980000</v>
      </c>
      <c r="F10" s="267">
        <v>283000</v>
      </c>
      <c r="G10" s="334"/>
      <c r="H10" s="334">
        <f>-ROUND(((F10/3)/1000)*1000+((B10-C10)*-791),-3)+1000</f>
        <v>1012000</v>
      </c>
      <c r="I10" s="334"/>
      <c r="J10" s="334">
        <v>5423000</v>
      </c>
      <c r="K10" s="335">
        <f t="shared" si="0"/>
        <v>-1808000</v>
      </c>
      <c r="L10" s="269">
        <v>438</v>
      </c>
      <c r="M10" s="334">
        <v>-524000</v>
      </c>
      <c r="N10" s="334">
        <v>14000</v>
      </c>
      <c r="O10" s="334">
        <f t="shared" si="1"/>
        <v>-5000</v>
      </c>
      <c r="P10" s="334">
        <v>198000</v>
      </c>
      <c r="Q10" s="336">
        <f t="shared" si="2"/>
        <v>-66000</v>
      </c>
      <c r="R10" s="269">
        <f t="shared" si="3"/>
        <v>13752</v>
      </c>
      <c r="S10" s="334">
        <f t="shared" si="4"/>
        <v>-963000</v>
      </c>
      <c r="T10" s="334">
        <f t="shared" si="5"/>
        <v>-4980000</v>
      </c>
      <c r="U10" s="334">
        <f t="shared" si="6"/>
        <v>297000</v>
      </c>
      <c r="V10" s="334">
        <f t="shared" si="7"/>
        <v>1007000</v>
      </c>
      <c r="W10" s="334">
        <f t="shared" si="8"/>
        <v>5621000</v>
      </c>
      <c r="X10" s="336">
        <f t="shared" si="9"/>
        <v>-1874000</v>
      </c>
      <c r="Y10" s="338">
        <f t="shared" si="10"/>
        <v>-25000</v>
      </c>
      <c r="Z10" s="337">
        <f t="shared" si="11"/>
        <v>-867000</v>
      </c>
      <c r="AA10" s="336">
        <f t="shared" si="12"/>
        <v>-892000</v>
      </c>
    </row>
    <row r="11" spans="1:27" ht="15">
      <c r="A11" s="270" t="s">
        <v>3</v>
      </c>
      <c r="B11" s="268">
        <v>9349</v>
      </c>
      <c r="C11" s="268">
        <v>8788</v>
      </c>
      <c r="D11" s="267">
        <v>1063000</v>
      </c>
      <c r="E11" s="267">
        <v>-2507000</v>
      </c>
      <c r="F11" s="267">
        <v>1024000</v>
      </c>
      <c r="G11" s="334"/>
      <c r="H11" s="334">
        <f>-ROUND(((F11/3)/1000)*1000+((B11-C11)*-791),-3)+1000</f>
        <v>103000</v>
      </c>
      <c r="I11" s="334"/>
      <c r="J11" s="334">
        <v>4168000</v>
      </c>
      <c r="K11" s="335">
        <f t="shared" si="0"/>
        <v>-1389000</v>
      </c>
      <c r="L11" s="269">
        <v>85</v>
      </c>
      <c r="M11" s="334">
        <v>-96000</v>
      </c>
      <c r="N11" s="334">
        <v>8000</v>
      </c>
      <c r="O11" s="334">
        <f t="shared" si="1"/>
        <v>-3000</v>
      </c>
      <c r="P11" s="334">
        <v>42000</v>
      </c>
      <c r="Q11" s="336">
        <f t="shared" si="2"/>
        <v>-14000</v>
      </c>
      <c r="R11" s="269">
        <f t="shared" si="3"/>
        <v>8873</v>
      </c>
      <c r="S11" s="334">
        <f t="shared" si="4"/>
        <v>967000</v>
      </c>
      <c r="T11" s="334">
        <f t="shared" si="5"/>
        <v>-2507000</v>
      </c>
      <c r="U11" s="334">
        <f t="shared" si="6"/>
        <v>1032000</v>
      </c>
      <c r="V11" s="334">
        <f t="shared" si="7"/>
        <v>100000</v>
      </c>
      <c r="W11" s="334">
        <f t="shared" si="8"/>
        <v>4210000</v>
      </c>
      <c r="X11" s="336">
        <f t="shared" si="9"/>
        <v>-1403000</v>
      </c>
      <c r="Y11" s="338">
        <f t="shared" si="10"/>
        <v>3702000</v>
      </c>
      <c r="Z11" s="337">
        <f t="shared" si="11"/>
        <v>-1303000</v>
      </c>
      <c r="AA11" s="336">
        <f t="shared" si="12"/>
        <v>2399000</v>
      </c>
    </row>
    <row r="12" spans="1:27" ht="15">
      <c r="A12" s="270" t="s">
        <v>29</v>
      </c>
      <c r="B12" s="268">
        <v>11764</v>
      </c>
      <c r="C12" s="268">
        <v>10646</v>
      </c>
      <c r="D12" s="267">
        <v>-2015000</v>
      </c>
      <c r="E12" s="267">
        <v>-4303000</v>
      </c>
      <c r="F12" s="267">
        <v>1478000</v>
      </c>
      <c r="G12" s="334"/>
      <c r="H12" s="334">
        <f>-ROUND(((F12/3)/1000)*1000+((B12-C12)*-791),-3)-1000</f>
        <v>391000</v>
      </c>
      <c r="I12" s="334"/>
      <c r="J12" s="334">
        <v>4197000</v>
      </c>
      <c r="K12" s="335">
        <f t="shared" si="0"/>
        <v>-1399000</v>
      </c>
      <c r="L12" s="269">
        <v>1030</v>
      </c>
      <c r="M12" s="334">
        <v>1562000</v>
      </c>
      <c r="N12" s="334">
        <v>134000</v>
      </c>
      <c r="O12" s="334">
        <f t="shared" si="1"/>
        <v>-45000</v>
      </c>
      <c r="P12" s="334">
        <v>412000</v>
      </c>
      <c r="Q12" s="336">
        <f t="shared" si="2"/>
        <v>-137000</v>
      </c>
      <c r="R12" s="269">
        <f t="shared" si="3"/>
        <v>11676</v>
      </c>
      <c r="S12" s="334">
        <f t="shared" si="4"/>
        <v>-453000</v>
      </c>
      <c r="T12" s="334">
        <f t="shared" si="5"/>
        <v>-4303000</v>
      </c>
      <c r="U12" s="334">
        <f t="shared" si="6"/>
        <v>1612000</v>
      </c>
      <c r="V12" s="334">
        <f t="shared" si="7"/>
        <v>346000</v>
      </c>
      <c r="W12" s="334">
        <f t="shared" si="8"/>
        <v>4609000</v>
      </c>
      <c r="X12" s="336">
        <f t="shared" si="9"/>
        <v>-1536000</v>
      </c>
      <c r="Y12" s="338">
        <f t="shared" si="10"/>
        <v>1465000</v>
      </c>
      <c r="Z12" s="337">
        <f t="shared" si="11"/>
        <v>-1190000</v>
      </c>
      <c r="AA12" s="336">
        <f t="shared" si="12"/>
        <v>275000</v>
      </c>
    </row>
    <row r="13" spans="1:27" ht="15">
      <c r="A13" s="270" t="s">
        <v>4</v>
      </c>
      <c r="B13" s="268">
        <v>18185</v>
      </c>
      <c r="C13" s="268">
        <v>16457</v>
      </c>
      <c r="D13" s="267">
        <v>-1183000</v>
      </c>
      <c r="E13" s="267">
        <v>-6556000</v>
      </c>
      <c r="F13" s="267">
        <v>305000</v>
      </c>
      <c r="G13" s="334"/>
      <c r="H13" s="334">
        <f>-ROUND(((F13/3)/1000)*1000+((B13-C13)*-791),-3)</f>
        <v>1265000</v>
      </c>
      <c r="I13" s="334"/>
      <c r="J13" s="334">
        <v>7215000</v>
      </c>
      <c r="K13" s="335">
        <f t="shared" si="0"/>
        <v>-2405000</v>
      </c>
      <c r="L13" s="269">
        <v>512</v>
      </c>
      <c r="M13" s="334">
        <v>-490000</v>
      </c>
      <c r="N13" s="334">
        <v>18000</v>
      </c>
      <c r="O13" s="334">
        <f t="shared" si="1"/>
        <v>-6000</v>
      </c>
      <c r="P13" s="334">
        <v>248000</v>
      </c>
      <c r="Q13" s="336">
        <f t="shared" si="2"/>
        <v>-83000</v>
      </c>
      <c r="R13" s="269">
        <f t="shared" si="3"/>
        <v>16969</v>
      </c>
      <c r="S13" s="334">
        <f t="shared" si="4"/>
        <v>-1673000</v>
      </c>
      <c r="T13" s="334">
        <f t="shared" si="5"/>
        <v>-6556000</v>
      </c>
      <c r="U13" s="334">
        <f t="shared" si="6"/>
        <v>323000</v>
      </c>
      <c r="V13" s="334">
        <f t="shared" si="7"/>
        <v>1259000</v>
      </c>
      <c r="W13" s="334">
        <f t="shared" si="8"/>
        <v>7463000</v>
      </c>
      <c r="X13" s="336">
        <f t="shared" si="9"/>
        <v>-2488000</v>
      </c>
      <c r="Y13" s="338">
        <f t="shared" si="10"/>
        <v>-443000</v>
      </c>
      <c r="Z13" s="337">
        <f t="shared" si="11"/>
        <v>-1229000</v>
      </c>
      <c r="AA13" s="336">
        <f t="shared" si="12"/>
        <v>-1672000</v>
      </c>
    </row>
    <row r="14" spans="1:27" ht="15">
      <c r="A14" s="270" t="s">
        <v>5</v>
      </c>
      <c r="B14" s="268">
        <v>27190</v>
      </c>
      <c r="C14" s="268">
        <v>24245</v>
      </c>
      <c r="D14" s="267">
        <v>49000</v>
      </c>
      <c r="E14" s="267">
        <v>-12359000</v>
      </c>
      <c r="F14" s="267">
        <v>2802000</v>
      </c>
      <c r="G14" s="334"/>
      <c r="H14" s="334">
        <f>-ROUND(((F14/3)/1000)*1000+((B14-C14)*-791),-3)</f>
        <v>1395000</v>
      </c>
      <c r="I14" s="334"/>
      <c r="J14" s="334">
        <v>10964000</v>
      </c>
      <c r="K14" s="335">
        <f t="shared" si="0"/>
        <v>-3655000</v>
      </c>
      <c r="L14" s="269">
        <v>911</v>
      </c>
      <c r="M14" s="334">
        <v>-61000</v>
      </c>
      <c r="N14" s="334">
        <v>123000</v>
      </c>
      <c r="O14" s="334">
        <f t="shared" si="1"/>
        <v>-41000</v>
      </c>
      <c r="P14" s="334">
        <v>448000</v>
      </c>
      <c r="Q14" s="336">
        <f t="shared" si="2"/>
        <v>-149000</v>
      </c>
      <c r="R14" s="269">
        <f t="shared" si="3"/>
        <v>25156</v>
      </c>
      <c r="S14" s="334">
        <f t="shared" si="4"/>
        <v>-12000</v>
      </c>
      <c r="T14" s="334">
        <f t="shared" si="5"/>
        <v>-12359000</v>
      </c>
      <c r="U14" s="334">
        <f t="shared" si="6"/>
        <v>2925000</v>
      </c>
      <c r="V14" s="334">
        <f t="shared" si="7"/>
        <v>1354000</v>
      </c>
      <c r="W14" s="334">
        <f t="shared" si="8"/>
        <v>11412000</v>
      </c>
      <c r="X14" s="336">
        <f t="shared" si="9"/>
        <v>-3804000</v>
      </c>
      <c r="Y14" s="338">
        <f t="shared" si="10"/>
        <v>1966000</v>
      </c>
      <c r="Z14" s="337">
        <f t="shared" si="11"/>
        <v>-2450000</v>
      </c>
      <c r="AA14" s="336">
        <f t="shared" si="12"/>
        <v>-484000</v>
      </c>
    </row>
    <row r="15" spans="1:27" ht="15">
      <c r="A15" s="270" t="s">
        <v>6</v>
      </c>
      <c r="B15" s="268">
        <v>7034</v>
      </c>
      <c r="C15" s="268">
        <v>6612</v>
      </c>
      <c r="D15" s="267">
        <v>-787000</v>
      </c>
      <c r="E15" s="267">
        <v>-1505000</v>
      </c>
      <c r="F15" s="267">
        <v>117000</v>
      </c>
      <c r="G15" s="334"/>
      <c r="H15" s="334">
        <f aca="true" t="shared" si="13" ref="H15:H23">-ROUND(((F15/3)/1000)*1000+((B15-C15)*-791),-3)</f>
        <v>295000</v>
      </c>
      <c r="I15" s="334"/>
      <c r="J15" s="334">
        <v>2700000</v>
      </c>
      <c r="K15" s="335">
        <f t="shared" si="0"/>
        <v>-900000</v>
      </c>
      <c r="L15" s="269">
        <v>242</v>
      </c>
      <c r="M15" s="334">
        <v>417000</v>
      </c>
      <c r="N15" s="334">
        <v>8000</v>
      </c>
      <c r="O15" s="334">
        <f t="shared" si="1"/>
        <v>-3000</v>
      </c>
      <c r="P15" s="334">
        <v>105000</v>
      </c>
      <c r="Q15" s="336">
        <f t="shared" si="2"/>
        <v>-35000</v>
      </c>
      <c r="R15" s="269">
        <f t="shared" si="3"/>
        <v>6854</v>
      </c>
      <c r="S15" s="334">
        <f t="shared" si="4"/>
        <v>-370000</v>
      </c>
      <c r="T15" s="334">
        <f t="shared" si="5"/>
        <v>-1505000</v>
      </c>
      <c r="U15" s="334">
        <f t="shared" si="6"/>
        <v>125000</v>
      </c>
      <c r="V15" s="334">
        <f t="shared" si="7"/>
        <v>292000</v>
      </c>
      <c r="W15" s="334">
        <f t="shared" si="8"/>
        <v>2805000</v>
      </c>
      <c r="X15" s="336">
        <f t="shared" si="9"/>
        <v>-935000</v>
      </c>
      <c r="Y15" s="338">
        <f t="shared" si="10"/>
        <v>1055000</v>
      </c>
      <c r="Z15" s="337">
        <f t="shared" si="11"/>
        <v>-643000</v>
      </c>
      <c r="AA15" s="336">
        <f t="shared" si="12"/>
        <v>412000</v>
      </c>
    </row>
    <row r="16" spans="1:27" ht="15">
      <c r="A16" s="270" t="s">
        <v>7</v>
      </c>
      <c r="B16" s="268">
        <v>28100</v>
      </c>
      <c r="C16" s="268">
        <v>25056</v>
      </c>
      <c r="D16" s="267">
        <v>-2569000</v>
      </c>
      <c r="E16" s="267">
        <v>-12346000</v>
      </c>
      <c r="F16" s="267">
        <v>1905000</v>
      </c>
      <c r="G16" s="334"/>
      <c r="H16" s="334">
        <f t="shared" si="13"/>
        <v>1773000</v>
      </c>
      <c r="I16" s="334"/>
      <c r="J16" s="334">
        <v>11244000</v>
      </c>
      <c r="K16" s="335">
        <f t="shared" si="0"/>
        <v>-3748000</v>
      </c>
      <c r="L16" s="269">
        <v>1241</v>
      </c>
      <c r="M16" s="334">
        <v>-808000</v>
      </c>
      <c r="N16" s="334">
        <v>106000</v>
      </c>
      <c r="O16" s="334">
        <f t="shared" si="1"/>
        <v>-35000</v>
      </c>
      <c r="P16" s="334">
        <v>595000</v>
      </c>
      <c r="Q16" s="336">
        <f t="shared" si="2"/>
        <v>-198000</v>
      </c>
      <c r="R16" s="269">
        <f t="shared" si="3"/>
        <v>26297</v>
      </c>
      <c r="S16" s="334">
        <f t="shared" si="4"/>
        <v>-3377000</v>
      </c>
      <c r="T16" s="334">
        <f t="shared" si="5"/>
        <v>-12346000</v>
      </c>
      <c r="U16" s="334">
        <f t="shared" si="6"/>
        <v>2011000</v>
      </c>
      <c r="V16" s="334">
        <f t="shared" si="7"/>
        <v>1738000</v>
      </c>
      <c r="W16" s="334">
        <f t="shared" si="8"/>
        <v>11839000</v>
      </c>
      <c r="X16" s="336">
        <f t="shared" si="9"/>
        <v>-3946000</v>
      </c>
      <c r="Y16" s="338">
        <f t="shared" si="10"/>
        <v>-1873000</v>
      </c>
      <c r="Z16" s="337">
        <f t="shared" si="11"/>
        <v>-2208000</v>
      </c>
      <c r="AA16" s="336">
        <f t="shared" si="12"/>
        <v>-4081000</v>
      </c>
    </row>
    <row r="17" spans="1:27" ht="15">
      <c r="A17" s="270" t="s">
        <v>8</v>
      </c>
      <c r="B17" s="268">
        <v>17000</v>
      </c>
      <c r="C17" s="268">
        <v>15385</v>
      </c>
      <c r="D17" s="267">
        <v>-921000</v>
      </c>
      <c r="E17" s="267">
        <v>-6800000</v>
      </c>
      <c r="F17" s="267">
        <v>2369000</v>
      </c>
      <c r="G17" s="334"/>
      <c r="H17" s="334">
        <f t="shared" si="13"/>
        <v>488000</v>
      </c>
      <c r="I17" s="334"/>
      <c r="J17" s="334">
        <v>6591000</v>
      </c>
      <c r="K17" s="335">
        <f t="shared" si="0"/>
        <v>-2197000</v>
      </c>
      <c r="L17" s="269">
        <v>911</v>
      </c>
      <c r="M17" s="334">
        <v>1203000</v>
      </c>
      <c r="N17" s="334">
        <v>141000</v>
      </c>
      <c r="O17" s="334">
        <f t="shared" si="1"/>
        <v>-47000</v>
      </c>
      <c r="P17" s="334">
        <v>448000</v>
      </c>
      <c r="Q17" s="336">
        <f t="shared" si="2"/>
        <v>-149000</v>
      </c>
      <c r="R17" s="269">
        <f t="shared" si="3"/>
        <v>16296</v>
      </c>
      <c r="S17" s="334">
        <f t="shared" si="4"/>
        <v>282000</v>
      </c>
      <c r="T17" s="334">
        <f t="shared" si="5"/>
        <v>-6800000</v>
      </c>
      <c r="U17" s="334">
        <f t="shared" si="6"/>
        <v>2510000</v>
      </c>
      <c r="V17" s="334">
        <f t="shared" si="7"/>
        <v>441000</v>
      </c>
      <c r="W17" s="334">
        <f t="shared" si="8"/>
        <v>7039000</v>
      </c>
      <c r="X17" s="336">
        <f t="shared" si="9"/>
        <v>-2346000</v>
      </c>
      <c r="Y17" s="338">
        <f t="shared" si="10"/>
        <v>3031000</v>
      </c>
      <c r="Z17" s="337">
        <f t="shared" si="11"/>
        <v>-1905000</v>
      </c>
      <c r="AA17" s="336">
        <f t="shared" si="12"/>
        <v>1126000</v>
      </c>
    </row>
    <row r="18" spans="1:27" ht="15">
      <c r="A18" s="270" t="s">
        <v>9</v>
      </c>
      <c r="B18" s="268">
        <v>870</v>
      </c>
      <c r="C18" s="268">
        <v>870</v>
      </c>
      <c r="D18" s="267">
        <v>-35000</v>
      </c>
      <c r="E18" s="267">
        <v>0</v>
      </c>
      <c r="F18" s="267">
        <v>0</v>
      </c>
      <c r="G18" s="334"/>
      <c r="H18" s="334">
        <f t="shared" si="13"/>
        <v>0</v>
      </c>
      <c r="I18" s="334"/>
      <c r="J18" s="334">
        <v>266000</v>
      </c>
      <c r="K18" s="335">
        <f t="shared" si="0"/>
        <v>-89000</v>
      </c>
      <c r="L18" s="269">
        <v>52</v>
      </c>
      <c r="M18" s="334">
        <v>-90000</v>
      </c>
      <c r="N18" s="334">
        <v>0</v>
      </c>
      <c r="O18" s="334">
        <f t="shared" si="1"/>
        <v>0</v>
      </c>
      <c r="P18" s="334">
        <v>17000</v>
      </c>
      <c r="Q18" s="336">
        <f t="shared" si="2"/>
        <v>-6000</v>
      </c>
      <c r="R18" s="269">
        <f t="shared" si="3"/>
        <v>922</v>
      </c>
      <c r="S18" s="334">
        <f t="shared" si="4"/>
        <v>-125000</v>
      </c>
      <c r="T18" s="334">
        <f t="shared" si="5"/>
        <v>0</v>
      </c>
      <c r="U18" s="334">
        <f t="shared" si="6"/>
        <v>0</v>
      </c>
      <c r="V18" s="334">
        <f t="shared" si="7"/>
        <v>0</v>
      </c>
      <c r="W18" s="334">
        <f t="shared" si="8"/>
        <v>283000</v>
      </c>
      <c r="X18" s="336">
        <f t="shared" si="9"/>
        <v>-95000</v>
      </c>
      <c r="Y18" s="338">
        <f t="shared" si="10"/>
        <v>158000</v>
      </c>
      <c r="Z18" s="337">
        <f t="shared" si="11"/>
        <v>-95000</v>
      </c>
      <c r="AA18" s="336">
        <f t="shared" si="12"/>
        <v>63000</v>
      </c>
    </row>
    <row r="19" spans="1:27" ht="15">
      <c r="A19" s="270" t="s">
        <v>10</v>
      </c>
      <c r="B19" s="268">
        <v>3640</v>
      </c>
      <c r="C19" s="268">
        <v>3640</v>
      </c>
      <c r="D19" s="267">
        <v>-259000</v>
      </c>
      <c r="E19" s="267">
        <v>0</v>
      </c>
      <c r="F19" s="267">
        <v>61000</v>
      </c>
      <c r="G19" s="334"/>
      <c r="H19" s="334">
        <f t="shared" si="13"/>
        <v>-20000</v>
      </c>
      <c r="I19" s="334"/>
      <c r="J19" s="334">
        <v>1477000</v>
      </c>
      <c r="K19" s="335">
        <f t="shared" si="0"/>
        <v>-492000</v>
      </c>
      <c r="L19" s="269">
        <v>129</v>
      </c>
      <c r="M19" s="334">
        <v>256000</v>
      </c>
      <c r="N19" s="334">
        <v>0</v>
      </c>
      <c r="O19" s="334">
        <f t="shared" si="1"/>
        <v>0</v>
      </c>
      <c r="P19" s="334">
        <v>54000</v>
      </c>
      <c r="Q19" s="336">
        <f t="shared" si="2"/>
        <v>-18000</v>
      </c>
      <c r="R19" s="269">
        <f t="shared" si="3"/>
        <v>3769</v>
      </c>
      <c r="S19" s="334">
        <f t="shared" si="4"/>
        <v>-3000</v>
      </c>
      <c r="T19" s="334">
        <f t="shared" si="5"/>
        <v>0</v>
      </c>
      <c r="U19" s="334">
        <f t="shared" si="6"/>
        <v>61000</v>
      </c>
      <c r="V19" s="334">
        <f t="shared" si="7"/>
        <v>-20000</v>
      </c>
      <c r="W19" s="334">
        <f t="shared" si="8"/>
        <v>1531000</v>
      </c>
      <c r="X19" s="336">
        <f t="shared" si="9"/>
        <v>-510000</v>
      </c>
      <c r="Y19" s="338">
        <f t="shared" si="10"/>
        <v>1589000</v>
      </c>
      <c r="Z19" s="337">
        <f t="shared" si="11"/>
        <v>-530000</v>
      </c>
      <c r="AA19" s="336">
        <f t="shared" si="12"/>
        <v>1059000</v>
      </c>
    </row>
    <row r="20" spans="1:27" ht="15">
      <c r="A20" s="270" t="s">
        <v>11</v>
      </c>
      <c r="B20" s="268">
        <v>25733</v>
      </c>
      <c r="C20" s="268">
        <v>22946</v>
      </c>
      <c r="D20" s="267">
        <v>-3133000</v>
      </c>
      <c r="E20" s="267">
        <v>-11526000</v>
      </c>
      <c r="F20" s="267">
        <v>1985000</v>
      </c>
      <c r="G20" s="334"/>
      <c r="H20" s="334">
        <f t="shared" si="13"/>
        <v>1543000</v>
      </c>
      <c r="I20" s="334"/>
      <c r="J20" s="334">
        <v>10457000</v>
      </c>
      <c r="K20" s="335">
        <f t="shared" si="0"/>
        <v>-3486000</v>
      </c>
      <c r="L20" s="269">
        <v>1495</v>
      </c>
      <c r="M20" s="334">
        <v>1340000</v>
      </c>
      <c r="N20" s="334">
        <v>143000</v>
      </c>
      <c r="O20" s="334">
        <f>-ROUND(((N20)/3)/1000,0)*1000+1000</f>
        <v>-47000</v>
      </c>
      <c r="P20" s="334">
        <v>718000</v>
      </c>
      <c r="Q20" s="336">
        <f>-ROUND((P20/3)/1000,0)*1000</f>
        <v>-239000</v>
      </c>
      <c r="R20" s="269">
        <f t="shared" si="3"/>
        <v>24441</v>
      </c>
      <c r="S20" s="334">
        <f t="shared" si="4"/>
        <v>-1793000</v>
      </c>
      <c r="T20" s="334">
        <f t="shared" si="5"/>
        <v>-11526000</v>
      </c>
      <c r="U20" s="334">
        <f t="shared" si="6"/>
        <v>2128000</v>
      </c>
      <c r="V20" s="334">
        <f t="shared" si="7"/>
        <v>1496000</v>
      </c>
      <c r="W20" s="334">
        <f t="shared" si="8"/>
        <v>11175000</v>
      </c>
      <c r="X20" s="336">
        <f t="shared" si="9"/>
        <v>-3725000</v>
      </c>
      <c r="Y20" s="338">
        <f t="shared" si="10"/>
        <v>-16000</v>
      </c>
      <c r="Z20" s="337">
        <f t="shared" si="11"/>
        <v>-2229000</v>
      </c>
      <c r="AA20" s="336">
        <f t="shared" si="12"/>
        <v>-2245000</v>
      </c>
    </row>
    <row r="21" spans="1:27" ht="15">
      <c r="A21" s="270" t="s">
        <v>12</v>
      </c>
      <c r="B21" s="268">
        <v>17816</v>
      </c>
      <c r="C21" s="268">
        <v>16123</v>
      </c>
      <c r="D21" s="267">
        <v>-251000</v>
      </c>
      <c r="E21" s="267">
        <v>-6711000</v>
      </c>
      <c r="F21" s="267">
        <v>1471000</v>
      </c>
      <c r="G21" s="334"/>
      <c r="H21" s="334">
        <f t="shared" si="13"/>
        <v>849000</v>
      </c>
      <c r="I21" s="334"/>
      <c r="J21" s="334">
        <v>6921000</v>
      </c>
      <c r="K21" s="335">
        <f t="shared" si="0"/>
        <v>-2307000</v>
      </c>
      <c r="L21" s="269">
        <v>755</v>
      </c>
      <c r="M21" s="334">
        <v>0</v>
      </c>
      <c r="N21" s="334">
        <v>89000</v>
      </c>
      <c r="O21" s="334">
        <f>-ROUND(((N21)/3)/1000,0)*1000</f>
        <v>-30000</v>
      </c>
      <c r="P21" s="334">
        <v>332000</v>
      </c>
      <c r="Q21" s="336">
        <f aca="true" t="shared" si="14" ref="Q21:Q30">-ROUND((P21/3)/1000,0)*1000</f>
        <v>-111000</v>
      </c>
      <c r="R21" s="269">
        <f t="shared" si="3"/>
        <v>16878</v>
      </c>
      <c r="S21" s="334">
        <f t="shared" si="4"/>
        <v>-251000</v>
      </c>
      <c r="T21" s="334">
        <f t="shared" si="5"/>
        <v>-6711000</v>
      </c>
      <c r="U21" s="334">
        <f t="shared" si="6"/>
        <v>1560000</v>
      </c>
      <c r="V21" s="334">
        <f t="shared" si="7"/>
        <v>819000</v>
      </c>
      <c r="W21" s="334">
        <f t="shared" si="8"/>
        <v>7253000</v>
      </c>
      <c r="X21" s="336">
        <f t="shared" si="9"/>
        <v>-2418000</v>
      </c>
      <c r="Y21" s="338">
        <f t="shared" si="10"/>
        <v>1851000</v>
      </c>
      <c r="Z21" s="337">
        <f t="shared" si="11"/>
        <v>-1599000</v>
      </c>
      <c r="AA21" s="336">
        <f t="shared" si="12"/>
        <v>252000</v>
      </c>
    </row>
    <row r="22" spans="1:27" ht="15">
      <c r="A22" s="270" t="s">
        <v>13</v>
      </c>
      <c r="B22" s="268">
        <v>22970</v>
      </c>
      <c r="C22" s="268">
        <v>20482</v>
      </c>
      <c r="D22" s="267">
        <v>-3647000</v>
      </c>
      <c r="E22" s="267">
        <v>-9795000</v>
      </c>
      <c r="F22" s="267">
        <v>674000</v>
      </c>
      <c r="G22" s="334"/>
      <c r="H22" s="334">
        <f t="shared" si="13"/>
        <v>1743000</v>
      </c>
      <c r="I22" s="334"/>
      <c r="J22" s="334">
        <v>9080000</v>
      </c>
      <c r="K22" s="335">
        <f t="shared" si="0"/>
        <v>-3027000</v>
      </c>
      <c r="L22" s="269">
        <v>456</v>
      </c>
      <c r="M22" s="334">
        <v>319000</v>
      </c>
      <c r="N22" s="334">
        <v>35000</v>
      </c>
      <c r="O22" s="334">
        <f>-ROUND(((N22)/3)/1000,0)*1000</f>
        <v>-12000</v>
      </c>
      <c r="P22" s="334">
        <v>250000</v>
      </c>
      <c r="Q22" s="336">
        <f t="shared" si="14"/>
        <v>-83000</v>
      </c>
      <c r="R22" s="269">
        <f t="shared" si="3"/>
        <v>20938</v>
      </c>
      <c r="S22" s="334">
        <f t="shared" si="4"/>
        <v>-3328000</v>
      </c>
      <c r="T22" s="334">
        <f t="shared" si="5"/>
        <v>-9795000</v>
      </c>
      <c r="U22" s="334">
        <f t="shared" si="6"/>
        <v>709000</v>
      </c>
      <c r="V22" s="334">
        <f t="shared" si="7"/>
        <v>1731000</v>
      </c>
      <c r="W22" s="334">
        <f t="shared" si="8"/>
        <v>9330000</v>
      </c>
      <c r="X22" s="336">
        <f t="shared" si="9"/>
        <v>-3110000</v>
      </c>
      <c r="Y22" s="338">
        <f t="shared" si="10"/>
        <v>-3084000</v>
      </c>
      <c r="Z22" s="337">
        <f t="shared" si="11"/>
        <v>-1379000</v>
      </c>
      <c r="AA22" s="336">
        <f t="shared" si="12"/>
        <v>-4463000</v>
      </c>
    </row>
    <row r="23" spans="1:27" ht="15">
      <c r="A23" s="270" t="s">
        <v>14</v>
      </c>
      <c r="B23" s="268">
        <v>14415</v>
      </c>
      <c r="C23" s="268">
        <v>13046</v>
      </c>
      <c r="D23" s="267">
        <v>-676000</v>
      </c>
      <c r="E23" s="267">
        <v>-5525000</v>
      </c>
      <c r="F23" s="267">
        <v>1319000</v>
      </c>
      <c r="G23" s="334"/>
      <c r="H23" s="334">
        <f t="shared" si="13"/>
        <v>643000</v>
      </c>
      <c r="I23" s="334"/>
      <c r="J23" s="334">
        <v>5677000</v>
      </c>
      <c r="K23" s="335">
        <f t="shared" si="0"/>
        <v>-1892000</v>
      </c>
      <c r="L23" s="269">
        <v>490</v>
      </c>
      <c r="M23" s="334">
        <v>779000</v>
      </c>
      <c r="N23" s="334">
        <v>53000</v>
      </c>
      <c r="O23" s="334">
        <f>-ROUND(((N23)/3)/1000,0)*1000</f>
        <v>-18000</v>
      </c>
      <c r="P23" s="334">
        <v>221000</v>
      </c>
      <c r="Q23" s="336">
        <f t="shared" si="14"/>
        <v>-74000</v>
      </c>
      <c r="R23" s="269">
        <f t="shared" si="3"/>
        <v>13536</v>
      </c>
      <c r="S23" s="334">
        <f t="shared" si="4"/>
        <v>103000</v>
      </c>
      <c r="T23" s="334">
        <f t="shared" si="5"/>
        <v>-5525000</v>
      </c>
      <c r="U23" s="334">
        <f t="shared" si="6"/>
        <v>1372000</v>
      </c>
      <c r="V23" s="334">
        <f t="shared" si="7"/>
        <v>625000</v>
      </c>
      <c r="W23" s="334">
        <f t="shared" si="8"/>
        <v>5898000</v>
      </c>
      <c r="X23" s="336">
        <f t="shared" si="9"/>
        <v>-1966000</v>
      </c>
      <c r="Y23" s="338">
        <f t="shared" si="10"/>
        <v>1848000</v>
      </c>
      <c r="Z23" s="337">
        <f t="shared" si="11"/>
        <v>-1341000</v>
      </c>
      <c r="AA23" s="336">
        <f t="shared" si="12"/>
        <v>507000</v>
      </c>
    </row>
    <row r="24" spans="1:27" ht="15">
      <c r="A24" s="270" t="s">
        <v>15</v>
      </c>
      <c r="B24" s="268">
        <v>28298</v>
      </c>
      <c r="C24" s="268">
        <v>25233</v>
      </c>
      <c r="D24" s="267">
        <v>-1345000</v>
      </c>
      <c r="E24" s="267">
        <v>-11928000</v>
      </c>
      <c r="F24" s="267">
        <v>2129000</v>
      </c>
      <c r="G24" s="334"/>
      <c r="H24" s="334">
        <f>-ROUND(((F24/3)/1000)*1000+((B24-C24)*-791),-3)-1000</f>
        <v>1714000</v>
      </c>
      <c r="I24" s="334"/>
      <c r="J24" s="334">
        <v>10359000</v>
      </c>
      <c r="K24" s="335">
        <f t="shared" si="0"/>
        <v>-3453000</v>
      </c>
      <c r="L24" s="269">
        <v>1771</v>
      </c>
      <c r="M24" s="334">
        <v>1498000</v>
      </c>
      <c r="N24" s="334">
        <v>167000</v>
      </c>
      <c r="O24" s="334">
        <f>-ROUND(((N24)/3)/1000,0)*1000</f>
        <v>-56000</v>
      </c>
      <c r="P24" s="334">
        <v>849000</v>
      </c>
      <c r="Q24" s="336">
        <f t="shared" si="14"/>
        <v>-283000</v>
      </c>
      <c r="R24" s="269">
        <f t="shared" si="3"/>
        <v>27004</v>
      </c>
      <c r="S24" s="334">
        <f t="shared" si="4"/>
        <v>153000</v>
      </c>
      <c r="T24" s="334">
        <f t="shared" si="5"/>
        <v>-11928000</v>
      </c>
      <c r="U24" s="334">
        <f t="shared" si="6"/>
        <v>2296000</v>
      </c>
      <c r="V24" s="334">
        <f t="shared" si="7"/>
        <v>1658000</v>
      </c>
      <c r="W24" s="334">
        <f t="shared" si="8"/>
        <v>11208000</v>
      </c>
      <c r="X24" s="336">
        <f t="shared" si="9"/>
        <v>-3736000</v>
      </c>
      <c r="Y24" s="338">
        <f t="shared" si="10"/>
        <v>1729000</v>
      </c>
      <c r="Z24" s="337">
        <f t="shared" si="11"/>
        <v>-2078000</v>
      </c>
      <c r="AA24" s="336">
        <f t="shared" si="12"/>
        <v>-349000</v>
      </c>
    </row>
    <row r="25" spans="1:27" ht="15">
      <c r="A25" s="270" t="s">
        <v>16</v>
      </c>
      <c r="B25" s="268">
        <v>23416</v>
      </c>
      <c r="C25" s="268">
        <v>20879</v>
      </c>
      <c r="D25" s="267">
        <v>-618000</v>
      </c>
      <c r="E25" s="267">
        <v>-10295000</v>
      </c>
      <c r="F25" s="267">
        <v>2036000</v>
      </c>
      <c r="G25" s="334"/>
      <c r="H25" s="334">
        <f>-ROUND(((F25/3)/1000)*1000+((B25-C25)*-791),-3)</f>
        <v>1328000</v>
      </c>
      <c r="I25" s="334"/>
      <c r="J25" s="334">
        <v>8926000</v>
      </c>
      <c r="K25" s="335">
        <f t="shared" si="0"/>
        <v>-2975000</v>
      </c>
      <c r="L25" s="269">
        <v>1796</v>
      </c>
      <c r="M25" s="334">
        <v>1648000</v>
      </c>
      <c r="N25" s="334">
        <v>207000</v>
      </c>
      <c r="O25" s="334">
        <f aca="true" t="shared" si="15" ref="O25:O30">-ROUND(((N25)/3)/1000,0)*1000</f>
        <v>-69000</v>
      </c>
      <c r="P25" s="334">
        <v>830000</v>
      </c>
      <c r="Q25" s="336">
        <f t="shared" si="14"/>
        <v>-277000</v>
      </c>
      <c r="R25" s="269">
        <f t="shared" si="3"/>
        <v>22675</v>
      </c>
      <c r="S25" s="334">
        <f t="shared" si="4"/>
        <v>1030000</v>
      </c>
      <c r="T25" s="334">
        <f t="shared" si="5"/>
        <v>-10295000</v>
      </c>
      <c r="U25" s="334">
        <f t="shared" si="6"/>
        <v>2243000</v>
      </c>
      <c r="V25" s="334">
        <f t="shared" si="7"/>
        <v>1259000</v>
      </c>
      <c r="W25" s="334">
        <f t="shared" si="8"/>
        <v>9756000</v>
      </c>
      <c r="X25" s="336">
        <f t="shared" si="9"/>
        <v>-3252000</v>
      </c>
      <c r="Y25" s="338">
        <f t="shared" si="10"/>
        <v>2734000</v>
      </c>
      <c r="Z25" s="337">
        <f t="shared" si="11"/>
        <v>-1993000</v>
      </c>
      <c r="AA25" s="336">
        <f t="shared" si="12"/>
        <v>741000</v>
      </c>
    </row>
    <row r="26" spans="1:27" ht="15">
      <c r="A26" s="270" t="s">
        <v>17</v>
      </c>
      <c r="B26" s="268">
        <v>22460</v>
      </c>
      <c r="C26" s="268">
        <v>20027</v>
      </c>
      <c r="D26" s="267">
        <v>-1515000</v>
      </c>
      <c r="E26" s="267">
        <v>-9855000</v>
      </c>
      <c r="F26" s="267">
        <v>1064000</v>
      </c>
      <c r="G26" s="334"/>
      <c r="H26" s="334">
        <f>-ROUND(((F26/3)/1000)*1000+((B26-C26)*-791),-3)</f>
        <v>1570000</v>
      </c>
      <c r="I26" s="334"/>
      <c r="J26" s="334">
        <v>9192000</v>
      </c>
      <c r="K26" s="335">
        <f t="shared" si="0"/>
        <v>-3064000</v>
      </c>
      <c r="L26" s="269">
        <v>1751</v>
      </c>
      <c r="M26" s="334">
        <v>-391000</v>
      </c>
      <c r="N26" s="334">
        <v>231000</v>
      </c>
      <c r="O26" s="334">
        <f t="shared" si="15"/>
        <v>-77000</v>
      </c>
      <c r="P26" s="334">
        <v>935000</v>
      </c>
      <c r="Q26" s="336">
        <f t="shared" si="14"/>
        <v>-312000</v>
      </c>
      <c r="R26" s="269">
        <f t="shared" si="3"/>
        <v>21778</v>
      </c>
      <c r="S26" s="334">
        <f t="shared" si="4"/>
        <v>-1906000</v>
      </c>
      <c r="T26" s="334">
        <f t="shared" si="5"/>
        <v>-9855000</v>
      </c>
      <c r="U26" s="334">
        <f t="shared" si="6"/>
        <v>1295000</v>
      </c>
      <c r="V26" s="334">
        <f t="shared" si="7"/>
        <v>1493000</v>
      </c>
      <c r="W26" s="334">
        <f t="shared" si="8"/>
        <v>10127000</v>
      </c>
      <c r="X26" s="336">
        <f t="shared" si="9"/>
        <v>-3376000</v>
      </c>
      <c r="Y26" s="338">
        <f t="shared" si="10"/>
        <v>-339000</v>
      </c>
      <c r="Z26" s="337">
        <f t="shared" si="11"/>
        <v>-1883000</v>
      </c>
      <c r="AA26" s="336">
        <f t="shared" si="12"/>
        <v>-2222000</v>
      </c>
    </row>
    <row r="27" spans="1:27" ht="15">
      <c r="A27" s="270" t="s">
        <v>18</v>
      </c>
      <c r="B27" s="268">
        <v>17350</v>
      </c>
      <c r="C27" s="268">
        <v>15702</v>
      </c>
      <c r="D27" s="267">
        <v>-1809000</v>
      </c>
      <c r="E27" s="267">
        <v>-5917000</v>
      </c>
      <c r="F27" s="267">
        <v>987000</v>
      </c>
      <c r="G27" s="334"/>
      <c r="H27" s="334">
        <f>-ROUND(((F27/3)/1000)*1000+((B27-C27)*-791),-3)</f>
        <v>975000</v>
      </c>
      <c r="I27" s="334"/>
      <c r="J27" s="334">
        <v>6258000</v>
      </c>
      <c r="K27" s="335">
        <f t="shared" si="0"/>
        <v>-2086000</v>
      </c>
      <c r="L27" s="269">
        <v>709</v>
      </c>
      <c r="M27" s="334">
        <v>-75000</v>
      </c>
      <c r="N27" s="334">
        <v>36000</v>
      </c>
      <c r="O27" s="334">
        <f t="shared" si="15"/>
        <v>-12000</v>
      </c>
      <c r="P27" s="334">
        <v>295000</v>
      </c>
      <c r="Q27" s="336">
        <f t="shared" si="14"/>
        <v>-98000</v>
      </c>
      <c r="R27" s="269">
        <f t="shared" si="3"/>
        <v>16411</v>
      </c>
      <c r="S27" s="334">
        <f t="shared" si="4"/>
        <v>-1884000</v>
      </c>
      <c r="T27" s="334">
        <f t="shared" si="5"/>
        <v>-5917000</v>
      </c>
      <c r="U27" s="334">
        <f t="shared" si="6"/>
        <v>1023000</v>
      </c>
      <c r="V27" s="334">
        <f t="shared" si="7"/>
        <v>963000</v>
      </c>
      <c r="W27" s="334">
        <f t="shared" si="8"/>
        <v>6553000</v>
      </c>
      <c r="X27" s="336">
        <f t="shared" si="9"/>
        <v>-2184000</v>
      </c>
      <c r="Y27" s="338">
        <f t="shared" si="10"/>
        <v>-225000</v>
      </c>
      <c r="Z27" s="337">
        <f t="shared" si="11"/>
        <v>-1221000</v>
      </c>
      <c r="AA27" s="336">
        <f t="shared" si="12"/>
        <v>-1446000</v>
      </c>
    </row>
    <row r="28" spans="1:27" ht="15">
      <c r="A28" s="270" t="s">
        <v>19</v>
      </c>
      <c r="B28" s="268">
        <v>7283</v>
      </c>
      <c r="C28" s="268">
        <v>6846</v>
      </c>
      <c r="D28" s="267">
        <v>626000</v>
      </c>
      <c r="E28" s="267">
        <v>-1761000</v>
      </c>
      <c r="F28" s="267">
        <v>375000</v>
      </c>
      <c r="G28" s="334"/>
      <c r="H28" s="334">
        <f>-ROUND(((F28/3)/1000)*1000+((B28-C28)*-791),-3)</f>
        <v>221000</v>
      </c>
      <c r="I28" s="334"/>
      <c r="J28" s="334">
        <v>3050000</v>
      </c>
      <c r="K28" s="335">
        <f t="shared" si="0"/>
        <v>-1017000</v>
      </c>
      <c r="L28" s="269">
        <v>94</v>
      </c>
      <c r="M28" s="334">
        <v>-118000</v>
      </c>
      <c r="N28" s="334">
        <v>1000</v>
      </c>
      <c r="O28" s="334">
        <f t="shared" si="15"/>
        <v>0</v>
      </c>
      <c r="P28" s="334">
        <v>47000</v>
      </c>
      <c r="Q28" s="336">
        <f t="shared" si="14"/>
        <v>-16000</v>
      </c>
      <c r="R28" s="269">
        <f t="shared" si="3"/>
        <v>6940</v>
      </c>
      <c r="S28" s="334">
        <f t="shared" si="4"/>
        <v>508000</v>
      </c>
      <c r="T28" s="334">
        <f t="shared" si="5"/>
        <v>-1761000</v>
      </c>
      <c r="U28" s="334">
        <f t="shared" si="6"/>
        <v>376000</v>
      </c>
      <c r="V28" s="334">
        <f t="shared" si="7"/>
        <v>221000</v>
      </c>
      <c r="W28" s="334">
        <f t="shared" si="8"/>
        <v>3097000</v>
      </c>
      <c r="X28" s="336">
        <f t="shared" si="9"/>
        <v>-1033000</v>
      </c>
      <c r="Y28" s="338">
        <f t="shared" si="10"/>
        <v>2220000</v>
      </c>
      <c r="Z28" s="337">
        <f t="shared" si="11"/>
        <v>-812000</v>
      </c>
      <c r="AA28" s="336">
        <f t="shared" si="12"/>
        <v>1408000</v>
      </c>
    </row>
    <row r="29" spans="1:27" ht="15">
      <c r="A29" s="270" t="s">
        <v>20</v>
      </c>
      <c r="B29" s="268">
        <v>7500</v>
      </c>
      <c r="C29" s="268">
        <v>7050</v>
      </c>
      <c r="D29" s="267">
        <v>-379000</v>
      </c>
      <c r="E29" s="267">
        <v>-1649000</v>
      </c>
      <c r="F29" s="267">
        <v>138000</v>
      </c>
      <c r="G29" s="334"/>
      <c r="H29" s="334">
        <f>-ROUND(((F29/3)/1000)*1000+((B29-C29)*-791),-3)</f>
        <v>310000</v>
      </c>
      <c r="I29" s="334"/>
      <c r="J29" s="334">
        <v>2968000</v>
      </c>
      <c r="K29" s="335">
        <f t="shared" si="0"/>
        <v>-989000</v>
      </c>
      <c r="L29" s="269">
        <v>92</v>
      </c>
      <c r="M29" s="334">
        <v>-166000</v>
      </c>
      <c r="N29" s="334">
        <v>1000</v>
      </c>
      <c r="O29" s="334">
        <f t="shared" si="15"/>
        <v>0</v>
      </c>
      <c r="P29" s="334">
        <v>43000</v>
      </c>
      <c r="Q29" s="336">
        <f t="shared" si="14"/>
        <v>-14000</v>
      </c>
      <c r="R29" s="269">
        <f t="shared" si="3"/>
        <v>7142</v>
      </c>
      <c r="S29" s="334">
        <f t="shared" si="4"/>
        <v>-545000</v>
      </c>
      <c r="T29" s="334">
        <f t="shared" si="5"/>
        <v>-1649000</v>
      </c>
      <c r="U29" s="334">
        <f t="shared" si="6"/>
        <v>139000</v>
      </c>
      <c r="V29" s="334">
        <f t="shared" si="7"/>
        <v>310000</v>
      </c>
      <c r="W29" s="334">
        <f t="shared" si="8"/>
        <v>3011000</v>
      </c>
      <c r="X29" s="336">
        <f t="shared" si="9"/>
        <v>-1003000</v>
      </c>
      <c r="Y29" s="338">
        <f t="shared" si="10"/>
        <v>956000</v>
      </c>
      <c r="Z29" s="337">
        <f t="shared" si="11"/>
        <v>-693000</v>
      </c>
      <c r="AA29" s="336">
        <f t="shared" si="12"/>
        <v>263000</v>
      </c>
    </row>
    <row r="30" spans="1:27" ht="15">
      <c r="A30" s="270" t="s">
        <v>21</v>
      </c>
      <c r="B30" s="268">
        <v>7090</v>
      </c>
      <c r="C30" s="268">
        <v>6665</v>
      </c>
      <c r="D30" s="267">
        <f>-940000-107000</f>
        <v>-1047000</v>
      </c>
      <c r="E30" s="267">
        <v>-1479000</v>
      </c>
      <c r="F30" s="267">
        <v>633000</v>
      </c>
      <c r="G30" s="334"/>
      <c r="H30" s="334">
        <f>-ROUND(((F30/3)/1000)*1000+((B30-C30)*-791),-3)</f>
        <v>125000</v>
      </c>
      <c r="I30" s="334"/>
      <c r="J30" s="334">
        <v>3069000</v>
      </c>
      <c r="K30" s="335">
        <f t="shared" si="0"/>
        <v>-1023000</v>
      </c>
      <c r="L30" s="269">
        <v>87</v>
      </c>
      <c r="M30" s="334">
        <v>245000</v>
      </c>
      <c r="N30" s="334">
        <v>3000</v>
      </c>
      <c r="O30" s="334">
        <f t="shared" si="15"/>
        <v>-1000</v>
      </c>
      <c r="P30" s="334">
        <v>53000</v>
      </c>
      <c r="Q30" s="336">
        <f t="shared" si="14"/>
        <v>-18000</v>
      </c>
      <c r="R30" s="269">
        <f t="shared" si="3"/>
        <v>6752</v>
      </c>
      <c r="S30" s="334">
        <f t="shared" si="4"/>
        <v>-802000</v>
      </c>
      <c r="T30" s="334">
        <f t="shared" si="5"/>
        <v>-1479000</v>
      </c>
      <c r="U30" s="334">
        <f t="shared" si="6"/>
        <v>636000</v>
      </c>
      <c r="V30" s="334">
        <f t="shared" si="7"/>
        <v>124000</v>
      </c>
      <c r="W30" s="334">
        <f t="shared" si="8"/>
        <v>3122000</v>
      </c>
      <c r="X30" s="336">
        <f t="shared" si="9"/>
        <v>-1041000</v>
      </c>
      <c r="Y30" s="338">
        <f t="shared" si="10"/>
        <v>1477000</v>
      </c>
      <c r="Z30" s="337">
        <f t="shared" si="11"/>
        <v>-917000</v>
      </c>
      <c r="AA30" s="336">
        <f t="shared" si="12"/>
        <v>560000</v>
      </c>
    </row>
    <row r="31" spans="1:27" ht="6" customHeight="1">
      <c r="A31" s="270"/>
      <c r="B31" s="267"/>
      <c r="C31" s="267"/>
      <c r="D31" s="267"/>
      <c r="E31" s="267"/>
      <c r="F31" s="267"/>
      <c r="G31" s="334"/>
      <c r="H31" s="334"/>
      <c r="I31" s="334"/>
      <c r="J31" s="334"/>
      <c r="K31" s="334"/>
      <c r="L31" s="269"/>
      <c r="M31" s="334"/>
      <c r="N31" s="334"/>
      <c r="O31" s="334"/>
      <c r="P31" s="334"/>
      <c r="Q31" s="339"/>
      <c r="R31" s="269"/>
      <c r="S31" s="334"/>
      <c r="T31" s="334"/>
      <c r="U31" s="334"/>
      <c r="V31" s="334"/>
      <c r="W31" s="334"/>
      <c r="X31" s="339"/>
      <c r="Y31" s="269"/>
      <c r="Z31" s="334"/>
      <c r="AA31" s="340"/>
    </row>
    <row r="32" spans="1:27" ht="15">
      <c r="A32" s="284" t="s">
        <v>22</v>
      </c>
      <c r="B32" s="283">
        <f aca="true" t="shared" si="16" ref="B32:AA32">SUM(B8:B30)</f>
        <v>341527</v>
      </c>
      <c r="C32" s="283">
        <f t="shared" si="16"/>
        <v>308951</v>
      </c>
      <c r="D32" s="281">
        <f t="shared" si="16"/>
        <v>-21380000</v>
      </c>
      <c r="E32" s="281">
        <f t="shared" si="16"/>
        <v>-129353000</v>
      </c>
      <c r="F32" s="281">
        <f t="shared" si="16"/>
        <v>23432000</v>
      </c>
      <c r="G32" s="341"/>
      <c r="H32" s="341">
        <f t="shared" si="16"/>
        <v>17958000</v>
      </c>
      <c r="I32" s="341"/>
      <c r="J32" s="341">
        <f t="shared" si="16"/>
        <v>134050000</v>
      </c>
      <c r="K32" s="341">
        <f t="shared" si="16"/>
        <v>-44684000</v>
      </c>
      <c r="L32" s="282">
        <f t="shared" si="16"/>
        <v>15155</v>
      </c>
      <c r="M32" s="341">
        <f t="shared" si="16"/>
        <v>6550000</v>
      </c>
      <c r="N32" s="341">
        <f t="shared" si="16"/>
        <v>1527000</v>
      </c>
      <c r="O32" s="341">
        <f t="shared" si="16"/>
        <v>-510000</v>
      </c>
      <c r="P32" s="341">
        <f t="shared" si="16"/>
        <v>7185000</v>
      </c>
      <c r="Q32" s="342">
        <f t="shared" si="16"/>
        <v>-2395000</v>
      </c>
      <c r="R32" s="282">
        <f t="shared" si="16"/>
        <v>324106</v>
      </c>
      <c r="S32" s="341">
        <f t="shared" si="16"/>
        <v>-14830000</v>
      </c>
      <c r="T32" s="341">
        <f t="shared" si="16"/>
        <v>-129353000</v>
      </c>
      <c r="U32" s="341">
        <f t="shared" si="16"/>
        <v>24959000</v>
      </c>
      <c r="V32" s="341">
        <f t="shared" si="16"/>
        <v>17448000</v>
      </c>
      <c r="W32" s="341">
        <f t="shared" si="16"/>
        <v>141235000</v>
      </c>
      <c r="X32" s="342">
        <f t="shared" si="16"/>
        <v>-47079000</v>
      </c>
      <c r="Y32" s="343">
        <f t="shared" si="16"/>
        <v>22011000</v>
      </c>
      <c r="Z32" s="341">
        <f t="shared" si="16"/>
        <v>-29631000</v>
      </c>
      <c r="AA32" s="344">
        <f t="shared" si="16"/>
        <v>-7620000</v>
      </c>
    </row>
    <row r="33" spans="1:27" ht="9" customHeight="1">
      <c r="A33" s="280"/>
      <c r="B33" s="279"/>
      <c r="C33" s="278"/>
      <c r="D33" s="276"/>
      <c r="E33" s="276"/>
      <c r="F33" s="276"/>
      <c r="G33" s="328"/>
      <c r="H33" s="328"/>
      <c r="I33" s="328"/>
      <c r="J33" s="328"/>
      <c r="K33" s="328"/>
      <c r="L33" s="277"/>
      <c r="M33" s="328"/>
      <c r="N33" s="328"/>
      <c r="O33" s="328"/>
      <c r="P33" s="328"/>
      <c r="Q33" s="345"/>
      <c r="R33" s="277"/>
      <c r="S33" s="328"/>
      <c r="T33" s="328"/>
      <c r="U33" s="328"/>
      <c r="V33" s="328"/>
      <c r="W33" s="328"/>
      <c r="X33" s="345"/>
      <c r="Y33" s="346"/>
      <c r="Z33" s="328"/>
      <c r="AA33" s="340"/>
    </row>
    <row r="34" spans="1:27" ht="15">
      <c r="A34" s="275" t="s">
        <v>23</v>
      </c>
      <c r="B34" s="274">
        <v>0</v>
      </c>
      <c r="C34" s="274">
        <v>0</v>
      </c>
      <c r="D34" s="267">
        <v>0</v>
      </c>
      <c r="E34" s="267">
        <v>0</v>
      </c>
      <c r="F34" s="267">
        <v>0</v>
      </c>
      <c r="G34" s="334"/>
      <c r="H34" s="334">
        <f>-ROUND(((F34/3)/1000)*1000+((B34-C34)*-791),-3)</f>
        <v>0</v>
      </c>
      <c r="I34" s="334"/>
      <c r="J34" s="334">
        <v>0</v>
      </c>
      <c r="K34" s="335">
        <f>-ROUND((J34/3)/1000,0)*1000</f>
        <v>0</v>
      </c>
      <c r="L34" s="271">
        <v>0</v>
      </c>
      <c r="M34" s="334">
        <v>0</v>
      </c>
      <c r="N34" s="334">
        <v>0</v>
      </c>
      <c r="O34" s="334">
        <f>-ROUND(((N34)/3)/1000,0)*1000</f>
        <v>0</v>
      </c>
      <c r="P34" s="334">
        <v>0</v>
      </c>
      <c r="Q34" s="336">
        <f>-ROUND((P34/3)/1000,0)*1000</f>
        <v>0</v>
      </c>
      <c r="R34" s="271">
        <v>0</v>
      </c>
      <c r="S34" s="334">
        <f>D34+M34</f>
        <v>0</v>
      </c>
      <c r="T34" s="334">
        <v>0</v>
      </c>
      <c r="U34" s="334">
        <v>0</v>
      </c>
      <c r="V34" s="334">
        <f>H34+O34</f>
        <v>0</v>
      </c>
      <c r="W34" s="334">
        <f aca="true" t="shared" si="17" ref="W34:X37">J34+P34</f>
        <v>0</v>
      </c>
      <c r="X34" s="336">
        <f t="shared" si="17"/>
        <v>0</v>
      </c>
      <c r="Y34" s="338">
        <f>S34+T34+U34+W34</f>
        <v>0</v>
      </c>
      <c r="Z34" s="337">
        <f>V34+X34</f>
        <v>0</v>
      </c>
      <c r="AA34" s="336">
        <f>SUM(S34:X34)</f>
        <v>0</v>
      </c>
    </row>
    <row r="35" spans="1:27" ht="15">
      <c r="A35" s="270" t="s">
        <v>32</v>
      </c>
      <c r="B35" s="268">
        <v>650</v>
      </c>
      <c r="C35" s="268">
        <v>650</v>
      </c>
      <c r="D35" s="267">
        <v>-12000</v>
      </c>
      <c r="E35" s="267">
        <v>0</v>
      </c>
      <c r="F35" s="267">
        <v>299000</v>
      </c>
      <c r="G35" s="334"/>
      <c r="H35" s="334">
        <f>-ROUND(((F35/3)/1000)*1000+((B35-C35)*-791),-3)</f>
        <v>-100000</v>
      </c>
      <c r="I35" s="334"/>
      <c r="J35" s="334">
        <v>317000</v>
      </c>
      <c r="K35" s="335">
        <f>-ROUND((J35/3)/1000,0)*1000</f>
        <v>-106000</v>
      </c>
      <c r="L35" s="269">
        <v>0</v>
      </c>
      <c r="M35" s="334">
        <v>-13000</v>
      </c>
      <c r="N35" s="334">
        <v>0</v>
      </c>
      <c r="O35" s="334">
        <f>-ROUND(((N35)/3)/1000,0)*1000</f>
        <v>0</v>
      </c>
      <c r="P35" s="334">
        <v>0</v>
      </c>
      <c r="Q35" s="336">
        <f>-ROUND((P35/3)/1000,0)*1000</f>
        <v>0</v>
      </c>
      <c r="R35" s="269">
        <f>C35+L35</f>
        <v>650</v>
      </c>
      <c r="S35" s="334">
        <f>D35+M35</f>
        <v>-25000</v>
      </c>
      <c r="T35" s="334">
        <f>E35</f>
        <v>0</v>
      </c>
      <c r="U35" s="334">
        <f>F35+N35</f>
        <v>299000</v>
      </c>
      <c r="V35" s="334">
        <f>H35+O35</f>
        <v>-100000</v>
      </c>
      <c r="W35" s="334">
        <f t="shared" si="17"/>
        <v>317000</v>
      </c>
      <c r="X35" s="336">
        <f t="shared" si="17"/>
        <v>-106000</v>
      </c>
      <c r="Y35" s="338">
        <f>S35+T35+U35+W35</f>
        <v>591000</v>
      </c>
      <c r="Z35" s="337">
        <f>V35+X35</f>
        <v>-206000</v>
      </c>
      <c r="AA35" s="336">
        <f>SUM(S35:X35)</f>
        <v>385000</v>
      </c>
    </row>
    <row r="36" spans="1:27" ht="15">
      <c r="A36" s="270" t="s">
        <v>24</v>
      </c>
      <c r="B36" s="268">
        <v>665</v>
      </c>
      <c r="C36" s="268">
        <v>665</v>
      </c>
      <c r="D36" s="267">
        <v>24000</v>
      </c>
      <c r="E36" s="267">
        <v>0</v>
      </c>
      <c r="F36" s="267">
        <v>7000</v>
      </c>
      <c r="G36" s="334"/>
      <c r="H36" s="334">
        <f>-ROUND(((F36/3)/1000)*1000+((B36-C36)*-791),-3)</f>
        <v>-2000</v>
      </c>
      <c r="I36" s="334"/>
      <c r="J36" s="334">
        <v>230000</v>
      </c>
      <c r="K36" s="335">
        <f>-ROUND((J36/3)/1000,0)*1000</f>
        <v>-77000</v>
      </c>
      <c r="L36" s="269">
        <v>12</v>
      </c>
      <c r="M36" s="334">
        <v>39000</v>
      </c>
      <c r="N36" s="334">
        <v>0</v>
      </c>
      <c r="O36" s="334">
        <f>-ROUND(((N36)/3)/1000,0)*1000</f>
        <v>0</v>
      </c>
      <c r="P36" s="334">
        <v>5000</v>
      </c>
      <c r="Q36" s="336">
        <f>-ROUND((P36/3)/1000,0)*1000</f>
        <v>-2000</v>
      </c>
      <c r="R36" s="269">
        <f>C36+L36</f>
        <v>677</v>
      </c>
      <c r="S36" s="334">
        <f>D36+M36</f>
        <v>63000</v>
      </c>
      <c r="T36" s="334">
        <f>E36</f>
        <v>0</v>
      </c>
      <c r="U36" s="334">
        <f>F36+N36</f>
        <v>7000</v>
      </c>
      <c r="V36" s="334">
        <f>H36+O36</f>
        <v>-2000</v>
      </c>
      <c r="W36" s="334">
        <f t="shared" si="17"/>
        <v>235000</v>
      </c>
      <c r="X36" s="336">
        <f t="shared" si="17"/>
        <v>-79000</v>
      </c>
      <c r="Y36" s="338">
        <f>S36+T36+U36+W36</f>
        <v>305000</v>
      </c>
      <c r="Z36" s="337">
        <f>V36+X36</f>
        <v>-81000</v>
      </c>
      <c r="AA36" s="336">
        <f>SUM(S36:X36)</f>
        <v>224000</v>
      </c>
    </row>
    <row r="37" spans="1:27" ht="15">
      <c r="A37" s="270" t="s">
        <v>25</v>
      </c>
      <c r="B37" s="268">
        <v>51</v>
      </c>
      <c r="C37" s="268">
        <v>51</v>
      </c>
      <c r="D37" s="267">
        <v>284000</v>
      </c>
      <c r="E37" s="267">
        <v>0</v>
      </c>
      <c r="F37" s="267">
        <v>118000</v>
      </c>
      <c r="G37" s="334"/>
      <c r="H37" s="334">
        <f>-ROUND(((F37/3)/1000)*1000+((B37-C37)*-791),-3)</f>
        <v>-39000</v>
      </c>
      <c r="I37" s="334"/>
      <c r="J37" s="334">
        <v>0</v>
      </c>
      <c r="K37" s="335">
        <f>ROUND((J37/3)/1000,0)*1000</f>
        <v>0</v>
      </c>
      <c r="L37" s="269">
        <v>3</v>
      </c>
      <c r="M37" s="334">
        <v>4000</v>
      </c>
      <c r="N37" s="334">
        <v>7000</v>
      </c>
      <c r="O37" s="334">
        <f>-ROUND(((N37)/3)/1000,0)*1000</f>
        <v>-2000</v>
      </c>
      <c r="P37" s="334">
        <v>0</v>
      </c>
      <c r="Q37" s="336">
        <f>-ROUND((P37/3)/1000,0)*1000</f>
        <v>0</v>
      </c>
      <c r="R37" s="269">
        <f>C37+L37</f>
        <v>54</v>
      </c>
      <c r="S37" s="334">
        <f>D37+M37</f>
        <v>288000</v>
      </c>
      <c r="T37" s="334">
        <f>E37</f>
        <v>0</v>
      </c>
      <c r="U37" s="334">
        <f>F37+N37</f>
        <v>125000</v>
      </c>
      <c r="V37" s="334">
        <f>H37+O37</f>
        <v>-41000</v>
      </c>
      <c r="W37" s="334">
        <f t="shared" si="17"/>
        <v>0</v>
      </c>
      <c r="X37" s="336">
        <f t="shared" si="17"/>
        <v>0</v>
      </c>
      <c r="Y37" s="338">
        <f>S37+T37+U37+W37</f>
        <v>413000</v>
      </c>
      <c r="Z37" s="337">
        <f>V37+X37</f>
        <v>-41000</v>
      </c>
      <c r="AA37" s="336">
        <f>SUM(S37:X37)</f>
        <v>372000</v>
      </c>
    </row>
    <row r="38" spans="1:27" ht="6" customHeight="1">
      <c r="A38" s="273"/>
      <c r="B38" s="272"/>
      <c r="C38" s="271"/>
      <c r="D38" s="267"/>
      <c r="E38" s="267"/>
      <c r="F38" s="267"/>
      <c r="G38" s="334"/>
      <c r="H38" s="334"/>
      <c r="I38" s="334"/>
      <c r="J38" s="334"/>
      <c r="K38" s="335"/>
      <c r="L38" s="271"/>
      <c r="M38" s="334"/>
      <c r="N38" s="334"/>
      <c r="O38" s="334"/>
      <c r="P38" s="334"/>
      <c r="Q38" s="336"/>
      <c r="R38" s="271"/>
      <c r="S38" s="334"/>
      <c r="T38" s="334"/>
      <c r="U38" s="334"/>
      <c r="V38" s="334"/>
      <c r="W38" s="334"/>
      <c r="X38" s="336"/>
      <c r="Y38" s="338"/>
      <c r="Z38" s="337"/>
      <c r="AA38" s="336"/>
    </row>
    <row r="39" spans="1:27" ht="3" customHeight="1">
      <c r="A39" s="270"/>
      <c r="B39" s="267"/>
      <c r="C39" s="267"/>
      <c r="D39" s="267"/>
      <c r="E39" s="267"/>
      <c r="F39" s="267"/>
      <c r="G39" s="334"/>
      <c r="H39" s="334"/>
      <c r="I39" s="334"/>
      <c r="J39" s="334"/>
      <c r="K39" s="334"/>
      <c r="L39" s="269"/>
      <c r="M39" s="334"/>
      <c r="N39" s="334"/>
      <c r="O39" s="334"/>
      <c r="P39" s="334"/>
      <c r="Q39" s="339"/>
      <c r="R39" s="269"/>
      <c r="S39" s="334"/>
      <c r="T39" s="334"/>
      <c r="U39" s="334"/>
      <c r="V39" s="334"/>
      <c r="W39" s="334"/>
      <c r="X39" s="339"/>
      <c r="Y39" s="347"/>
      <c r="Z39" s="348"/>
      <c r="AA39" s="349"/>
    </row>
    <row r="40" spans="1:27" ht="15.75" thickBot="1">
      <c r="A40" s="266" t="s">
        <v>75</v>
      </c>
      <c r="B40" s="265">
        <f aca="true" t="shared" si="18" ref="B40:AA40">SUM(B32:B38)</f>
        <v>342893</v>
      </c>
      <c r="C40" s="265">
        <f t="shared" si="18"/>
        <v>310317</v>
      </c>
      <c r="D40" s="263">
        <f t="shared" si="18"/>
        <v>-21084000</v>
      </c>
      <c r="E40" s="263">
        <f t="shared" si="18"/>
        <v>-129353000</v>
      </c>
      <c r="F40" s="263">
        <f t="shared" si="18"/>
        <v>23856000</v>
      </c>
      <c r="G40" s="350"/>
      <c r="H40" s="350">
        <f t="shared" si="18"/>
        <v>17817000</v>
      </c>
      <c r="I40" s="350"/>
      <c r="J40" s="350">
        <f t="shared" si="18"/>
        <v>134597000</v>
      </c>
      <c r="K40" s="350">
        <f t="shared" si="18"/>
        <v>-44867000</v>
      </c>
      <c r="L40" s="264">
        <f t="shared" si="18"/>
        <v>15170</v>
      </c>
      <c r="M40" s="350">
        <f t="shared" si="18"/>
        <v>6580000</v>
      </c>
      <c r="N40" s="350">
        <f t="shared" si="18"/>
        <v>1534000</v>
      </c>
      <c r="O40" s="350">
        <f t="shared" si="18"/>
        <v>-512000</v>
      </c>
      <c r="P40" s="350">
        <f t="shared" si="18"/>
        <v>7190000</v>
      </c>
      <c r="Q40" s="351">
        <f t="shared" si="18"/>
        <v>-2397000</v>
      </c>
      <c r="R40" s="264">
        <f t="shared" si="18"/>
        <v>325487</v>
      </c>
      <c r="S40" s="350">
        <f t="shared" si="18"/>
        <v>-14504000</v>
      </c>
      <c r="T40" s="350">
        <f t="shared" si="18"/>
        <v>-129353000</v>
      </c>
      <c r="U40" s="350">
        <f t="shared" si="18"/>
        <v>25390000</v>
      </c>
      <c r="V40" s="350">
        <f t="shared" si="18"/>
        <v>17305000</v>
      </c>
      <c r="W40" s="350">
        <f t="shared" si="18"/>
        <v>141787000</v>
      </c>
      <c r="X40" s="351">
        <f t="shared" si="18"/>
        <v>-47264000</v>
      </c>
      <c r="Y40" s="352">
        <f t="shared" si="18"/>
        <v>23320000</v>
      </c>
      <c r="Z40" s="353">
        <f t="shared" si="18"/>
        <v>-29959000</v>
      </c>
      <c r="AA40" s="354">
        <f t="shared" si="18"/>
        <v>-6639000</v>
      </c>
    </row>
    <row r="41" ht="9" customHeight="1">
      <c r="V41" s="329"/>
    </row>
    <row r="42" spans="3:16" ht="18">
      <c r="C42" s="262" t="s">
        <v>148</v>
      </c>
      <c r="M42" s="355"/>
      <c r="N42" s="355"/>
      <c r="P42" s="355"/>
    </row>
    <row r="43" spans="3:27" s="259" customFormat="1" ht="18.75" customHeight="1">
      <c r="C43" s="262" t="s">
        <v>149</v>
      </c>
      <c r="G43" s="356"/>
      <c r="H43" s="356"/>
      <c r="I43" s="356"/>
      <c r="J43" s="356"/>
      <c r="K43" s="356"/>
      <c r="L43" s="356"/>
      <c r="M43" s="356"/>
      <c r="N43" s="356"/>
      <c r="O43" s="356"/>
      <c r="P43" s="356"/>
      <c r="Q43" s="356"/>
      <c r="R43" s="356"/>
      <c r="S43" s="356"/>
      <c r="T43" s="356"/>
      <c r="U43" s="357"/>
      <c r="V43" s="356"/>
      <c r="W43" s="357"/>
      <c r="X43" s="356"/>
      <c r="Y43" s="357"/>
      <c r="Z43" s="356"/>
      <c r="AA43" s="356"/>
    </row>
    <row r="44" spans="7:27" s="259" customFormat="1" ht="18.75" customHeight="1">
      <c r="G44" s="356"/>
      <c r="H44" s="356"/>
      <c r="I44" s="356"/>
      <c r="J44" s="356"/>
      <c r="K44" s="356"/>
      <c r="L44" s="356"/>
      <c r="M44" s="356"/>
      <c r="N44" s="356"/>
      <c r="O44" s="356"/>
      <c r="P44" s="356"/>
      <c r="Q44" s="356"/>
      <c r="R44" s="356"/>
      <c r="S44" s="356"/>
      <c r="T44" s="356"/>
      <c r="U44" s="356"/>
      <c r="V44" s="356"/>
      <c r="W44" s="356"/>
      <c r="X44" s="356"/>
      <c r="Y44" s="356"/>
      <c r="Z44" s="356"/>
      <c r="AA44" s="356"/>
    </row>
    <row r="45" spans="5:27" s="259" customFormat="1" ht="18.75" customHeight="1">
      <c r="E45" s="261"/>
      <c r="F45" s="260"/>
      <c r="G45" s="358"/>
      <c r="H45" s="356"/>
      <c r="I45" s="356"/>
      <c r="J45" s="358"/>
      <c r="K45" s="357"/>
      <c r="L45" s="356"/>
      <c r="M45" s="356"/>
      <c r="N45" s="358"/>
      <c r="O45" s="357"/>
      <c r="P45" s="358"/>
      <c r="Q45" s="356"/>
      <c r="R45" s="356"/>
      <c r="S45" s="356"/>
      <c r="T45" s="356"/>
      <c r="U45" s="358"/>
      <c r="V45" s="356"/>
      <c r="W45" s="358"/>
      <c r="X45" s="356"/>
      <c r="Y45" s="358"/>
      <c r="Z45" s="356"/>
      <c r="AA45" s="356"/>
    </row>
    <row r="46" spans="10:11" ht="15">
      <c r="J46" s="355"/>
      <c r="K46" s="355"/>
    </row>
  </sheetData>
  <sheetProtection/>
  <mergeCells count="5">
    <mergeCell ref="G6:I6"/>
    <mergeCell ref="Y4:AA4"/>
    <mergeCell ref="L4:Q4"/>
    <mergeCell ref="C4:K4"/>
    <mergeCell ref="R4:X4"/>
  </mergeCells>
  <printOptions/>
  <pageMargins left="0.43" right="0.37" top="0.75" bottom="0.25" header="0.3" footer="0.3"/>
  <pageSetup horizontalDpi="600" verticalDpi="600" orientation="landscape" paperSize="5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5"/>
  <sheetViews>
    <sheetView zoomScalePageLayoutView="0" workbookViewId="0" topLeftCell="A1">
      <selection activeCell="I26" sqref="I26"/>
    </sheetView>
  </sheetViews>
  <sheetFormatPr defaultColWidth="9.33203125" defaultRowHeight="12.75"/>
  <cols>
    <col min="1" max="1" width="1.83203125" style="193" customWidth="1"/>
    <col min="2" max="2" width="23.83203125" style="192" customWidth="1"/>
    <col min="3" max="3" width="15.66015625" style="192" customWidth="1"/>
    <col min="4" max="4" width="9.83203125" style="192" bestFit="1" customWidth="1"/>
    <col min="5" max="5" width="16" style="192" customWidth="1"/>
    <col min="6" max="6" width="9.83203125" style="193" bestFit="1" customWidth="1"/>
    <col min="7" max="7" width="14.5" style="192" customWidth="1"/>
    <col min="8" max="8" width="11" style="192" bestFit="1" customWidth="1"/>
    <col min="9" max="9" width="15.33203125" style="192" customWidth="1"/>
    <col min="10" max="10" width="11" style="192" bestFit="1" customWidth="1"/>
    <col min="11" max="11" width="10.83203125" style="192" customWidth="1"/>
    <col min="12" max="12" width="15.5" style="192" bestFit="1" customWidth="1"/>
    <col min="13" max="13" width="10.83203125" style="192" customWidth="1"/>
    <col min="14" max="14" width="4.16015625" style="192" customWidth="1"/>
    <col min="15" max="15" width="16.16015625" style="192" customWidth="1"/>
    <col min="16" max="16" width="2.83203125" style="192" customWidth="1"/>
    <col min="17" max="17" width="16.16015625" style="192" customWidth="1"/>
    <col min="18" max="18" width="2.83203125" style="192" customWidth="1"/>
    <col min="19" max="19" width="16.16015625" style="192" customWidth="1"/>
    <col min="20" max="16384" width="9.33203125" style="192" customWidth="1"/>
  </cols>
  <sheetData>
    <row r="1" ht="16.5">
      <c r="A1" s="191" t="s">
        <v>136</v>
      </c>
    </row>
    <row r="2" spans="2:17" ht="15.75" customHeight="1">
      <c r="B2" s="386"/>
      <c r="O2" s="302"/>
      <c r="Q2" s="302"/>
    </row>
    <row r="3" spans="3:17" ht="14.25" customHeight="1">
      <c r="C3" s="194">
        <v>-1</v>
      </c>
      <c r="D3" s="194"/>
      <c r="E3" s="194"/>
      <c r="F3" s="194"/>
      <c r="G3" s="194"/>
      <c r="H3" s="194"/>
      <c r="I3" s="194">
        <v>-2</v>
      </c>
      <c r="L3" s="194">
        <v>-3</v>
      </c>
      <c r="O3" s="302"/>
      <c r="Q3" s="302"/>
    </row>
    <row r="4" spans="1:17" ht="20.25" customHeight="1">
      <c r="A4" s="195"/>
      <c r="B4" s="196"/>
      <c r="C4" s="197"/>
      <c r="D4" s="197"/>
      <c r="E4" s="422" t="s">
        <v>157</v>
      </c>
      <c r="F4" s="423"/>
      <c r="G4" s="423"/>
      <c r="H4" s="423"/>
      <c r="I4" s="423"/>
      <c r="J4" s="423"/>
      <c r="K4" s="423"/>
      <c r="L4" s="423"/>
      <c r="M4" s="424"/>
      <c r="O4" s="302"/>
      <c r="Q4" s="302"/>
    </row>
    <row r="5" spans="1:19" s="204" customFormat="1" ht="75.75" customHeight="1" thickBot="1">
      <c r="A5" s="198"/>
      <c r="B5" s="199" t="s">
        <v>38</v>
      </c>
      <c r="C5" s="200" t="s">
        <v>84</v>
      </c>
      <c r="D5" s="201"/>
      <c r="E5" s="425" t="s">
        <v>85</v>
      </c>
      <c r="F5" s="426"/>
      <c r="G5" s="202" t="s">
        <v>86</v>
      </c>
      <c r="H5" s="203"/>
      <c r="I5" s="427" t="s">
        <v>87</v>
      </c>
      <c r="J5" s="427"/>
      <c r="K5" s="428" t="s">
        <v>109</v>
      </c>
      <c r="L5" s="429"/>
      <c r="M5" s="430"/>
      <c r="O5" s="302"/>
      <c r="P5" s="257"/>
      <c r="Q5" s="302"/>
      <c r="R5" s="206"/>
      <c r="S5" s="205"/>
    </row>
    <row r="6" spans="1:19" ht="15">
      <c r="A6" s="207"/>
      <c r="B6" s="208"/>
      <c r="C6" s="250" t="s">
        <v>88</v>
      </c>
      <c r="D6" s="209" t="s">
        <v>89</v>
      </c>
      <c r="E6" s="210" t="s">
        <v>88</v>
      </c>
      <c r="F6" s="211" t="s">
        <v>89</v>
      </c>
      <c r="G6" s="210" t="s">
        <v>88</v>
      </c>
      <c r="H6" s="209" t="s">
        <v>89</v>
      </c>
      <c r="I6" s="210" t="s">
        <v>88</v>
      </c>
      <c r="J6" s="209" t="s">
        <v>89</v>
      </c>
      <c r="K6" s="210"/>
      <c r="L6" s="212" t="s">
        <v>156</v>
      </c>
      <c r="M6" s="213"/>
      <c r="O6" s="208"/>
      <c r="P6" s="208"/>
      <c r="Q6" s="208"/>
      <c r="R6" s="208"/>
      <c r="S6" s="208"/>
    </row>
    <row r="7" spans="1:19" ht="6" customHeight="1">
      <c r="A7" s="210"/>
      <c r="B7" s="208"/>
      <c r="C7" s="214"/>
      <c r="D7" s="208"/>
      <c r="E7" s="214"/>
      <c r="F7" s="211"/>
      <c r="G7" s="214"/>
      <c r="H7" s="209"/>
      <c r="I7" s="214"/>
      <c r="J7" s="209"/>
      <c r="K7" s="210"/>
      <c r="M7" s="213"/>
      <c r="O7" s="208"/>
      <c r="P7" s="208"/>
      <c r="Q7" s="208"/>
      <c r="R7" s="208"/>
      <c r="S7" s="208"/>
    </row>
    <row r="8" spans="1:19" ht="15">
      <c r="A8" s="215"/>
      <c r="B8" s="208" t="s">
        <v>90</v>
      </c>
      <c r="C8" s="216">
        <v>10538900</v>
      </c>
      <c r="D8" s="217">
        <f aca="true" t="shared" si="0" ref="D8:D30">C8/$C$32</f>
        <v>0.02424297213975531</v>
      </c>
      <c r="E8" s="389">
        <f>ROUND(12472533/100,0)*100</f>
        <v>12472500</v>
      </c>
      <c r="F8" s="218">
        <f aca="true" t="shared" si="1" ref="F8:F30">E8/$E$32</f>
        <v>0.0234645819795773</v>
      </c>
      <c r="G8" s="188">
        <f>ROUND(11596169/100,0)*100</f>
        <v>11596200</v>
      </c>
      <c r="H8" s="219">
        <f aca="true" t="shared" si="2" ref="H8:H30">G8/$G$32</f>
        <v>0.024376733864093433</v>
      </c>
      <c r="I8" s="220">
        <f>ROUND((464678800)*J8/100,0)*100</f>
        <v>11327400</v>
      </c>
      <c r="J8" s="221">
        <f>H8</f>
        <v>0.024376733864093433</v>
      </c>
      <c r="K8" s="222"/>
      <c r="L8" s="223">
        <f aca="true" t="shared" si="3" ref="L8:L30">I8-C8</f>
        <v>788500</v>
      </c>
      <c r="M8" s="213"/>
      <c r="N8" s="224"/>
      <c r="O8" s="226"/>
      <c r="P8" s="208"/>
      <c r="Q8" s="225"/>
      <c r="R8" s="208"/>
      <c r="S8" s="226"/>
    </row>
    <row r="9" spans="1:19" ht="15">
      <c r="A9" s="215"/>
      <c r="B9" s="208" t="s">
        <v>1</v>
      </c>
      <c r="C9" s="216">
        <v>2821500</v>
      </c>
      <c r="D9" s="217">
        <f t="shared" si="0"/>
        <v>0.0064903876013928975</v>
      </c>
      <c r="E9" s="390">
        <f>ROUND(3196600/100,0)*100</f>
        <v>3196600</v>
      </c>
      <c r="F9" s="218">
        <f t="shared" si="1"/>
        <v>0.006013780938538128</v>
      </c>
      <c r="G9" s="189">
        <f>ROUND(3137724/100,0)*100</f>
        <v>3137700</v>
      </c>
      <c r="H9" s="219">
        <f t="shared" si="2"/>
        <v>0.006595857077781167</v>
      </c>
      <c r="I9" s="227">
        <f>ROUND((464678800)*J9/100,0)*100</f>
        <v>3065000</v>
      </c>
      <c r="J9" s="221">
        <f aca="true" t="shared" si="4" ref="J9:J30">H9</f>
        <v>0.006595857077781167</v>
      </c>
      <c r="K9" s="222"/>
      <c r="L9" s="228">
        <f t="shared" si="3"/>
        <v>243500</v>
      </c>
      <c r="M9" s="213"/>
      <c r="N9" s="224"/>
      <c r="O9" s="224"/>
      <c r="P9" s="224"/>
      <c r="Q9" s="224"/>
      <c r="R9" s="224"/>
      <c r="S9" s="224"/>
    </row>
    <row r="10" spans="1:19" ht="15">
      <c r="A10" s="215"/>
      <c r="B10" s="208" t="s">
        <v>91</v>
      </c>
      <c r="C10" s="216">
        <v>15071700</v>
      </c>
      <c r="D10" s="217">
        <f t="shared" si="0"/>
        <v>0.03466991841641444</v>
      </c>
      <c r="E10" s="390">
        <f>ROUND(18368114/100,0)*100</f>
        <v>18368100</v>
      </c>
      <c r="F10" s="218">
        <f t="shared" si="1"/>
        <v>0.03455600627452987</v>
      </c>
      <c r="G10" s="189">
        <f>ROUND(16414711/100,0)*100</f>
        <v>16414700</v>
      </c>
      <c r="H10" s="219">
        <f t="shared" si="2"/>
        <v>0.03450585306901696</v>
      </c>
      <c r="I10" s="227">
        <f aca="true" t="shared" si="5" ref="I10:I30">ROUND((464678800)*J10/100,0)*100</f>
        <v>16034100</v>
      </c>
      <c r="J10" s="221">
        <f t="shared" si="4"/>
        <v>0.03450585306901696</v>
      </c>
      <c r="K10" s="222"/>
      <c r="L10" s="228">
        <f t="shared" si="3"/>
        <v>962400</v>
      </c>
      <c r="M10" s="213"/>
      <c r="N10" s="224"/>
      <c r="O10" s="224"/>
      <c r="P10" s="224"/>
      <c r="Q10" s="224"/>
      <c r="R10" s="224"/>
      <c r="S10" s="224"/>
    </row>
    <row r="11" spans="1:19" ht="15">
      <c r="A11" s="215"/>
      <c r="B11" s="208" t="s">
        <v>92</v>
      </c>
      <c r="C11" s="229">
        <v>19640300</v>
      </c>
      <c r="D11" s="217">
        <f t="shared" si="0"/>
        <v>0.045179216589628535</v>
      </c>
      <c r="E11" s="391">
        <f>ROUND(22051019/100,0)*100</f>
        <v>22051000</v>
      </c>
      <c r="F11" s="218">
        <f t="shared" si="1"/>
        <v>0.04148466604382915</v>
      </c>
      <c r="G11" s="189">
        <f>ROUND(21267486/100,0)*100</f>
        <v>21267500</v>
      </c>
      <c r="H11" s="219">
        <f t="shared" si="2"/>
        <v>0.044707075374226656</v>
      </c>
      <c r="I11" s="227">
        <f t="shared" si="5"/>
        <v>20774400</v>
      </c>
      <c r="J11" s="221">
        <f t="shared" si="4"/>
        <v>0.044707075374226656</v>
      </c>
      <c r="K11" s="222"/>
      <c r="L11" s="228">
        <f t="shared" si="3"/>
        <v>1134100</v>
      </c>
      <c r="M11" s="213"/>
      <c r="N11" s="224"/>
      <c r="O11" s="224"/>
      <c r="P11" s="224"/>
      <c r="Q11" s="224"/>
      <c r="R11" s="224"/>
      <c r="S11" s="224"/>
    </row>
    <row r="12" spans="1:19" ht="15">
      <c r="A12" s="215"/>
      <c r="B12" s="208" t="s">
        <v>29</v>
      </c>
      <c r="C12" s="229">
        <v>13696300</v>
      </c>
      <c r="D12" s="217">
        <f t="shared" si="0"/>
        <v>0.031506041362735264</v>
      </c>
      <c r="E12" s="391">
        <f>ROUND(17180219/100,0)*100</f>
        <v>17180200</v>
      </c>
      <c r="F12" s="218">
        <f t="shared" si="1"/>
        <v>0.03232120355386121</v>
      </c>
      <c r="G12" s="189">
        <f>ROUND(15235821/100,0)*100</f>
        <v>15235800</v>
      </c>
      <c r="H12" s="219">
        <f t="shared" si="2"/>
        <v>0.0320276505930007</v>
      </c>
      <c r="I12" s="227">
        <f t="shared" si="5"/>
        <v>14882600</v>
      </c>
      <c r="J12" s="221">
        <f t="shared" si="4"/>
        <v>0.0320276505930007</v>
      </c>
      <c r="K12" s="222"/>
      <c r="L12" s="228">
        <f t="shared" si="3"/>
        <v>1186300</v>
      </c>
      <c r="M12" s="213"/>
      <c r="N12" s="224"/>
      <c r="O12" s="224"/>
      <c r="P12" s="224"/>
      <c r="Q12" s="224"/>
      <c r="R12" s="224"/>
      <c r="S12" s="224"/>
    </row>
    <row r="13" spans="1:19" ht="15">
      <c r="A13" s="215"/>
      <c r="B13" s="208" t="s">
        <v>93</v>
      </c>
      <c r="C13" s="229">
        <v>25305200</v>
      </c>
      <c r="D13" s="217">
        <f t="shared" si="0"/>
        <v>0.05821036906991584</v>
      </c>
      <c r="E13" s="391">
        <f>ROUND(30529295/100,0)*100</f>
        <v>30529300</v>
      </c>
      <c r="F13" s="218">
        <f t="shared" si="1"/>
        <v>0.057434937873650775</v>
      </c>
      <c r="G13" s="189">
        <f>ROUND(27631166/100,0)*100</f>
        <v>27631200</v>
      </c>
      <c r="H13" s="219">
        <f t="shared" si="2"/>
        <v>0.058084407715073776</v>
      </c>
      <c r="I13" s="227">
        <f t="shared" si="5"/>
        <v>26990600</v>
      </c>
      <c r="J13" s="221">
        <f t="shared" si="4"/>
        <v>0.058084407715073776</v>
      </c>
      <c r="K13" s="222"/>
      <c r="L13" s="228">
        <f t="shared" si="3"/>
        <v>1685400</v>
      </c>
      <c r="M13" s="213"/>
      <c r="N13" s="224"/>
      <c r="O13" s="224"/>
      <c r="P13" s="224"/>
      <c r="Q13" s="224"/>
      <c r="R13" s="224"/>
      <c r="S13" s="224"/>
    </row>
    <row r="14" spans="1:19" ht="15">
      <c r="A14" s="215"/>
      <c r="B14" s="208" t="s">
        <v>94</v>
      </c>
      <c r="C14" s="216">
        <v>31370900</v>
      </c>
      <c r="D14" s="217">
        <f t="shared" si="0"/>
        <v>0.07216349473844992</v>
      </c>
      <c r="E14" s="391">
        <f>ROUND(38663638/100,0)*100</f>
        <v>38663600</v>
      </c>
      <c r="F14" s="218">
        <f t="shared" si="1"/>
        <v>0.07273804063544477</v>
      </c>
      <c r="G14" s="189">
        <f>ROUND(34356214/100,0)*100</f>
        <v>34356200</v>
      </c>
      <c r="H14" s="219">
        <f t="shared" si="2"/>
        <v>0.07222124005980984</v>
      </c>
      <c r="I14" s="227">
        <f t="shared" si="5"/>
        <v>33559700</v>
      </c>
      <c r="J14" s="221">
        <f t="shared" si="4"/>
        <v>0.07222124005980984</v>
      </c>
      <c r="K14" s="222"/>
      <c r="L14" s="228">
        <f t="shared" si="3"/>
        <v>2188800</v>
      </c>
      <c r="M14" s="213"/>
      <c r="N14" s="224"/>
      <c r="O14" s="224"/>
      <c r="P14" s="224"/>
      <c r="Q14" s="224"/>
      <c r="R14" s="224"/>
      <c r="S14" s="224"/>
    </row>
    <row r="15" spans="1:19" ht="15">
      <c r="A15" s="215"/>
      <c r="B15" s="208" t="s">
        <v>95</v>
      </c>
      <c r="C15" s="216">
        <v>10948400</v>
      </c>
      <c r="D15" s="217">
        <f t="shared" si="0"/>
        <v>0.025184958219064326</v>
      </c>
      <c r="E15" s="391">
        <f>ROUND(13167629/100,0)*100</f>
        <v>13167600</v>
      </c>
      <c r="F15" s="218">
        <f t="shared" si="1"/>
        <v>0.024772277384187778</v>
      </c>
      <c r="G15" s="189">
        <f>ROUND(12048012/100,0)*100</f>
        <v>12048000</v>
      </c>
      <c r="H15" s="219">
        <f t="shared" si="2"/>
        <v>0.025326476741915255</v>
      </c>
      <c r="I15" s="227">
        <f t="shared" si="5"/>
        <v>11768700</v>
      </c>
      <c r="J15" s="221">
        <f t="shared" si="4"/>
        <v>0.025326476741915255</v>
      </c>
      <c r="K15" s="222"/>
      <c r="L15" s="228">
        <f t="shared" si="3"/>
        <v>820300</v>
      </c>
      <c r="M15" s="213"/>
      <c r="N15" s="224"/>
      <c r="O15" s="224"/>
      <c r="P15" s="224"/>
      <c r="Q15" s="224"/>
      <c r="R15" s="224"/>
      <c r="S15" s="224"/>
    </row>
    <row r="16" spans="1:19" ht="15">
      <c r="A16" s="215"/>
      <c r="B16" s="208" t="s">
        <v>96</v>
      </c>
      <c r="C16" s="216">
        <v>36667800</v>
      </c>
      <c r="D16" s="217">
        <f t="shared" si="0"/>
        <v>0.0843481249301274</v>
      </c>
      <c r="E16" s="391">
        <f>ROUND(46104352/100,0)*100</f>
        <v>46104400</v>
      </c>
      <c r="F16" s="218">
        <f t="shared" si="1"/>
        <v>0.08673645808131679</v>
      </c>
      <c r="G16" s="189">
        <f>ROUND(39794270/100,0)*100</f>
        <v>39794300</v>
      </c>
      <c r="H16" s="219">
        <f t="shared" si="2"/>
        <v>0.0836528397585324</v>
      </c>
      <c r="I16" s="227">
        <f>ROUND((464678800)*J16/100,0)*100-100</f>
        <v>38871600</v>
      </c>
      <c r="J16" s="221">
        <f t="shared" si="4"/>
        <v>0.0836528397585324</v>
      </c>
      <c r="K16" s="222"/>
      <c r="L16" s="228">
        <f t="shared" si="3"/>
        <v>2203800</v>
      </c>
      <c r="M16" s="213"/>
      <c r="N16" s="224"/>
      <c r="O16" s="224"/>
      <c r="P16" s="224"/>
      <c r="Q16" s="224"/>
      <c r="R16" s="224"/>
      <c r="S16" s="224"/>
    </row>
    <row r="17" spans="1:19" ht="15">
      <c r="A17" s="215"/>
      <c r="B17" s="208" t="s">
        <v>97</v>
      </c>
      <c r="C17" s="229">
        <v>30281200</v>
      </c>
      <c r="D17" s="217">
        <f t="shared" si="0"/>
        <v>0.06965682262459635</v>
      </c>
      <c r="E17" s="391">
        <f>ROUND(36568505/100,0)*100</f>
        <v>36568500</v>
      </c>
      <c r="F17" s="218">
        <f t="shared" si="1"/>
        <v>0.06879651762839627</v>
      </c>
      <c r="G17" s="189">
        <f>ROUND(33265881/100,0)*100</f>
        <v>33265900</v>
      </c>
      <c r="H17" s="219">
        <f t="shared" si="2"/>
        <v>0.06992928640843947</v>
      </c>
      <c r="I17" s="227">
        <f t="shared" si="5"/>
        <v>32494700</v>
      </c>
      <c r="J17" s="221">
        <f t="shared" si="4"/>
        <v>0.06992928640843947</v>
      </c>
      <c r="K17" s="222"/>
      <c r="L17" s="228">
        <f t="shared" si="3"/>
        <v>2213500</v>
      </c>
      <c r="M17" s="213"/>
      <c r="N17" s="224"/>
      <c r="O17" s="224"/>
      <c r="P17" s="224"/>
      <c r="Q17" s="224"/>
      <c r="R17" s="224"/>
      <c r="S17" s="224"/>
    </row>
    <row r="18" spans="1:19" ht="15">
      <c r="A18" s="215"/>
      <c r="B18" s="208" t="s">
        <v>9</v>
      </c>
      <c r="C18" s="229">
        <v>587800</v>
      </c>
      <c r="D18" s="217">
        <f t="shared" si="0"/>
        <v>0.0013521353294696952</v>
      </c>
      <c r="E18" s="391">
        <f>ROUND(833276/100,0)*100</f>
        <v>833300</v>
      </c>
      <c r="F18" s="218">
        <f t="shared" si="1"/>
        <v>0.0015676918150797166</v>
      </c>
      <c r="G18" s="189">
        <f>ROUND(844091/100,0)*100</f>
        <v>844100</v>
      </c>
      <c r="H18" s="219">
        <f t="shared" si="2"/>
        <v>0.0017744089490247898</v>
      </c>
      <c r="I18" s="227">
        <f t="shared" si="5"/>
        <v>824500</v>
      </c>
      <c r="J18" s="221">
        <f t="shared" si="4"/>
        <v>0.0017744089490247898</v>
      </c>
      <c r="K18" s="222"/>
      <c r="L18" s="228">
        <f t="shared" si="3"/>
        <v>236700</v>
      </c>
      <c r="M18" s="213"/>
      <c r="N18" s="224"/>
      <c r="O18" s="224"/>
      <c r="P18" s="224"/>
      <c r="Q18" s="224"/>
      <c r="R18" s="224"/>
      <c r="S18" s="224"/>
    </row>
    <row r="19" spans="1:19" ht="15">
      <c r="A19" s="215"/>
      <c r="B19" s="208" t="s">
        <v>10</v>
      </c>
      <c r="C19" s="229">
        <v>4648800</v>
      </c>
      <c r="D19" s="217">
        <f t="shared" si="0"/>
        <v>0.010693784824155698</v>
      </c>
      <c r="E19" s="391">
        <f>ROUND(5322010/100,0)*100</f>
        <v>5322000</v>
      </c>
      <c r="F19" s="218">
        <f t="shared" si="1"/>
        <v>0.010012307500125106</v>
      </c>
      <c r="G19" s="189">
        <f>ROUND(5132277/100,0)*100</f>
        <v>5132300</v>
      </c>
      <c r="H19" s="219">
        <f t="shared" si="2"/>
        <v>0.010788767976637754</v>
      </c>
      <c r="I19" s="227">
        <f t="shared" si="5"/>
        <v>5013300</v>
      </c>
      <c r="J19" s="221">
        <f t="shared" si="4"/>
        <v>0.010788767976637754</v>
      </c>
      <c r="K19" s="222"/>
      <c r="L19" s="228">
        <f t="shared" si="3"/>
        <v>364500</v>
      </c>
      <c r="M19" s="213"/>
      <c r="N19" s="224"/>
      <c r="O19" s="224"/>
      <c r="P19" s="224"/>
      <c r="Q19" s="224"/>
      <c r="R19" s="224"/>
      <c r="S19" s="224"/>
    </row>
    <row r="20" spans="1:19" ht="15">
      <c r="A20" s="215"/>
      <c r="B20" s="208" t="s">
        <v>98</v>
      </c>
      <c r="C20" s="229">
        <v>37202800</v>
      </c>
      <c r="D20" s="217">
        <f t="shared" si="0"/>
        <v>0.08557880271384004</v>
      </c>
      <c r="E20" s="391">
        <f>ROUND(46818410/100,0)*100</f>
        <v>46818400</v>
      </c>
      <c r="F20" s="218">
        <f t="shared" si="1"/>
        <v>0.08807971015856018</v>
      </c>
      <c r="G20" s="189">
        <f>ROUND(40773744/100,0)*100</f>
        <v>40773700</v>
      </c>
      <c r="H20" s="219">
        <f t="shared" si="2"/>
        <v>0.08571166705941485</v>
      </c>
      <c r="I20" s="227">
        <f t="shared" si="5"/>
        <v>39828400</v>
      </c>
      <c r="J20" s="221">
        <f t="shared" si="4"/>
        <v>0.08571166705941485</v>
      </c>
      <c r="K20" s="222"/>
      <c r="L20" s="228">
        <f t="shared" si="3"/>
        <v>2625600</v>
      </c>
      <c r="M20" s="213"/>
      <c r="N20" s="224"/>
      <c r="O20" s="224"/>
      <c r="P20" s="224"/>
      <c r="Q20" s="224"/>
      <c r="R20" s="224"/>
      <c r="S20" s="224"/>
    </row>
    <row r="21" spans="1:19" ht="15">
      <c r="A21" s="215"/>
      <c r="B21" s="208" t="s">
        <v>99</v>
      </c>
      <c r="C21" s="229">
        <v>21422100</v>
      </c>
      <c r="D21" s="217">
        <f t="shared" si="0"/>
        <v>0.04927794869246811</v>
      </c>
      <c r="E21" s="391">
        <f>ROUND(25470762/100,0)*100</f>
        <v>25470800</v>
      </c>
      <c r="F21" s="218">
        <f t="shared" si="1"/>
        <v>0.04791835435441311</v>
      </c>
      <c r="G21" s="189">
        <f>ROUND(23292168/100,0)*100</f>
        <v>23292200</v>
      </c>
      <c r="H21" s="219">
        <f t="shared" si="2"/>
        <v>0.048963260422313956</v>
      </c>
      <c r="I21" s="227">
        <f t="shared" si="5"/>
        <v>22752200</v>
      </c>
      <c r="J21" s="221">
        <f t="shared" si="4"/>
        <v>0.048963260422313956</v>
      </c>
      <c r="K21" s="222"/>
      <c r="L21" s="228">
        <f t="shared" si="3"/>
        <v>1330100</v>
      </c>
      <c r="M21" s="213"/>
      <c r="N21" s="224"/>
      <c r="O21" s="224"/>
      <c r="P21" s="224"/>
      <c r="Q21" s="224"/>
      <c r="R21" s="224"/>
      <c r="S21" s="224"/>
    </row>
    <row r="22" spans="1:19" ht="15">
      <c r="A22" s="215"/>
      <c r="B22" s="208" t="s">
        <v>100</v>
      </c>
      <c r="C22" s="229">
        <v>28791000</v>
      </c>
      <c r="D22" s="217">
        <f t="shared" si="0"/>
        <v>0.06622886742218781</v>
      </c>
      <c r="E22" s="391">
        <f>ROUND(36142648/100,0)*100</f>
        <v>36142600</v>
      </c>
      <c r="F22" s="218">
        <f t="shared" si="1"/>
        <v>0.06799526964562602</v>
      </c>
      <c r="G22" s="189">
        <f>ROUND(31304178/100,0)*100</f>
        <v>31304200</v>
      </c>
      <c r="H22" s="219">
        <f t="shared" si="2"/>
        <v>0.0658055356261839</v>
      </c>
      <c r="I22" s="227">
        <f t="shared" si="5"/>
        <v>30578400</v>
      </c>
      <c r="J22" s="221">
        <f t="shared" si="4"/>
        <v>0.0658055356261839</v>
      </c>
      <c r="K22" s="222"/>
      <c r="L22" s="228">
        <f t="shared" si="3"/>
        <v>1787400</v>
      </c>
      <c r="M22" s="213"/>
      <c r="N22" s="224"/>
      <c r="O22" s="224"/>
      <c r="P22" s="224"/>
      <c r="Q22" s="224"/>
      <c r="R22" s="224"/>
      <c r="S22" s="224"/>
    </row>
    <row r="23" spans="1:19" ht="15">
      <c r="A23" s="215"/>
      <c r="B23" s="208" t="s">
        <v>101</v>
      </c>
      <c r="C23" s="229">
        <v>24755400</v>
      </c>
      <c r="D23" s="217">
        <f t="shared" si="0"/>
        <v>0.05694564636807433</v>
      </c>
      <c r="E23" s="391">
        <f>ROUND(30279752/100,0)*100</f>
        <v>30279800</v>
      </c>
      <c r="F23" s="218">
        <f t="shared" si="1"/>
        <v>0.056965552168787716</v>
      </c>
      <c r="G23" s="189">
        <f>ROUND(27266319/100,0)*100</f>
        <v>27266300</v>
      </c>
      <c r="H23" s="219">
        <f t="shared" si="2"/>
        <v>0.05731734003885159</v>
      </c>
      <c r="I23" s="227">
        <f>ROUND((464678800)*J23/100,0)*100-100</f>
        <v>26634100</v>
      </c>
      <c r="J23" s="221">
        <f t="shared" si="4"/>
        <v>0.05731734003885159</v>
      </c>
      <c r="K23" s="222"/>
      <c r="L23" s="228">
        <f t="shared" si="3"/>
        <v>1878700</v>
      </c>
      <c r="M23" s="213"/>
      <c r="N23" s="224"/>
      <c r="O23" s="224"/>
      <c r="P23" s="224"/>
      <c r="Q23" s="224"/>
      <c r="R23" s="224"/>
      <c r="S23" s="224"/>
    </row>
    <row r="24" spans="1:19" ht="15">
      <c r="A24" s="215"/>
      <c r="B24" s="208" t="s">
        <v>102</v>
      </c>
      <c r="C24" s="229">
        <v>29407800</v>
      </c>
      <c r="D24" s="217">
        <f t="shared" si="0"/>
        <v>0.06764771238853165</v>
      </c>
      <c r="E24" s="391">
        <f>ROUND(36136362/100,0)*100</f>
        <v>36136400</v>
      </c>
      <c r="F24" s="218">
        <f>E24/$E$32</f>
        <v>0.06798360555195808</v>
      </c>
      <c r="G24" s="189">
        <f>ROUND(31835395/100,0)*100</f>
        <v>31835400</v>
      </c>
      <c r="H24" s="219">
        <f t="shared" si="2"/>
        <v>0.06692218772157776</v>
      </c>
      <c r="I24" s="227">
        <f t="shared" si="5"/>
        <v>31097300</v>
      </c>
      <c r="J24" s="221">
        <f t="shared" si="4"/>
        <v>0.06692218772157776</v>
      </c>
      <c r="K24" s="222"/>
      <c r="L24" s="228">
        <f t="shared" si="3"/>
        <v>1689500</v>
      </c>
      <c r="M24" s="213"/>
      <c r="N24" s="224"/>
      <c r="O24" s="224"/>
      <c r="P24" s="224"/>
      <c r="Q24" s="224"/>
      <c r="R24" s="224"/>
      <c r="S24" s="224"/>
    </row>
    <row r="25" spans="1:19" ht="15">
      <c r="A25" s="215"/>
      <c r="B25" s="208" t="s">
        <v>103</v>
      </c>
      <c r="C25" s="229">
        <v>31538600</v>
      </c>
      <c r="D25" s="217">
        <f t="shared" si="0"/>
        <v>0.07254926046616694</v>
      </c>
      <c r="E25" s="391">
        <f>ROUND(38739590/100,0)*100</f>
        <v>38739600</v>
      </c>
      <c r="F25" s="218">
        <f>E25/$E$32</f>
        <v>0.07288101984814856</v>
      </c>
      <c r="G25" s="189">
        <f>ROUND(34395961/100,0)*100</f>
        <v>34396000</v>
      </c>
      <c r="H25" s="219">
        <f>G25/$G$32</f>
        <v>0.07230490488171623</v>
      </c>
      <c r="I25" s="227">
        <f>ROUND((464678800)*J25/100,0)*100-100</f>
        <v>33598500</v>
      </c>
      <c r="J25" s="221">
        <f t="shared" si="4"/>
        <v>0.07230490488171623</v>
      </c>
      <c r="K25" s="222"/>
      <c r="L25" s="228">
        <f t="shared" si="3"/>
        <v>2059900</v>
      </c>
      <c r="M25" s="213"/>
      <c r="N25" s="224"/>
      <c r="O25" s="224"/>
      <c r="P25" s="224"/>
      <c r="Q25" s="224"/>
      <c r="R25" s="224"/>
      <c r="S25" s="224"/>
    </row>
    <row r="26" spans="1:19" ht="15">
      <c r="A26" s="215"/>
      <c r="B26" s="208" t="s">
        <v>104</v>
      </c>
      <c r="C26" s="229">
        <v>24172800</v>
      </c>
      <c r="D26" s="217">
        <f t="shared" si="0"/>
        <v>0.05560547276659586</v>
      </c>
      <c r="E26" s="391">
        <f>ROUND(30676486/100,0)*100</f>
        <v>30676500</v>
      </c>
      <c r="F26" s="218">
        <f t="shared" si="1"/>
        <v>0.05771186603299283</v>
      </c>
      <c r="G26" s="189">
        <f>ROUND(26748451/100,0)*100</f>
        <v>26748500</v>
      </c>
      <c r="H26" s="219">
        <f t="shared" si="2"/>
        <v>0.056228856501587</v>
      </c>
      <c r="I26" s="227">
        <f t="shared" si="5"/>
        <v>26128400</v>
      </c>
      <c r="J26" s="221">
        <f t="shared" si="4"/>
        <v>0.056228856501587</v>
      </c>
      <c r="K26" s="222"/>
      <c r="L26" s="228">
        <f t="shared" si="3"/>
        <v>1955600</v>
      </c>
      <c r="M26" s="213"/>
      <c r="N26" s="224"/>
      <c r="O26" s="224"/>
      <c r="P26" s="224"/>
      <c r="Q26" s="224"/>
      <c r="R26" s="224"/>
      <c r="S26" s="224"/>
    </row>
    <row r="27" spans="1:19" ht="15">
      <c r="A27" s="215"/>
      <c r="B27" s="208" t="s">
        <v>105</v>
      </c>
      <c r="C27" s="229">
        <v>10366800</v>
      </c>
      <c r="D27" s="217">
        <f t="shared" si="0"/>
        <v>0.02384708494989186</v>
      </c>
      <c r="E27" s="391">
        <f>ROUND(12571638/100,0)*100</f>
        <v>12571600</v>
      </c>
      <c r="F27" s="218">
        <f t="shared" si="1"/>
        <v>0.023651019347721305</v>
      </c>
      <c r="G27" s="189">
        <f>ROUND(11323680/100,0)*100</f>
        <v>11323700</v>
      </c>
      <c r="H27" s="219">
        <f t="shared" si="2"/>
        <v>0.023803903111091117</v>
      </c>
      <c r="I27" s="227">
        <f t="shared" si="5"/>
        <v>11061200</v>
      </c>
      <c r="J27" s="221">
        <f t="shared" si="4"/>
        <v>0.023803903111091117</v>
      </c>
      <c r="K27" s="222"/>
      <c r="L27" s="228">
        <f t="shared" si="3"/>
        <v>694400</v>
      </c>
      <c r="M27" s="213"/>
      <c r="N27" s="224"/>
      <c r="O27" s="224"/>
      <c r="P27" s="224"/>
      <c r="Q27" s="224"/>
      <c r="R27" s="224"/>
      <c r="S27" s="224"/>
    </row>
    <row r="28" spans="1:19" ht="15">
      <c r="A28" s="215"/>
      <c r="B28" s="208" t="s">
        <v>106</v>
      </c>
      <c r="C28" s="229">
        <v>8781500</v>
      </c>
      <c r="D28" s="217">
        <f t="shared" si="0"/>
        <v>0.02020036814518225</v>
      </c>
      <c r="E28" s="391">
        <f>ROUND(10417943/100,0)*100</f>
        <v>10417900</v>
      </c>
      <c r="F28" s="218">
        <f t="shared" si="1"/>
        <v>0.019599251842456474</v>
      </c>
      <c r="G28" s="189">
        <f>ROUND(9692636/100,0)*100</f>
        <v>9692600</v>
      </c>
      <c r="H28" s="219">
        <f t="shared" si="2"/>
        <v>0.020375116904771565</v>
      </c>
      <c r="I28" s="227">
        <f t="shared" si="5"/>
        <v>9467900</v>
      </c>
      <c r="J28" s="221">
        <f t="shared" si="4"/>
        <v>0.020375116904771565</v>
      </c>
      <c r="K28" s="222"/>
      <c r="L28" s="228">
        <f t="shared" si="3"/>
        <v>686400</v>
      </c>
      <c r="M28" s="213"/>
      <c r="N28" s="224"/>
      <c r="O28" s="224"/>
      <c r="P28" s="224"/>
      <c r="Q28" s="224"/>
      <c r="R28" s="224"/>
      <c r="S28" s="224"/>
    </row>
    <row r="29" spans="1:19" ht="15">
      <c r="A29" s="215"/>
      <c r="B29" s="208" t="s">
        <v>107</v>
      </c>
      <c r="C29" s="229">
        <v>6002500</v>
      </c>
      <c r="D29" s="217">
        <f t="shared" si="0"/>
        <v>0.013807744666794564</v>
      </c>
      <c r="E29" s="391">
        <f>ROUND(7053829/100,0)*100</f>
        <v>7053800</v>
      </c>
      <c r="F29" s="218">
        <f t="shared" si="1"/>
        <v>0.013270352244340939</v>
      </c>
      <c r="G29" s="189">
        <f>ROUND(6596516/100,0)*100</f>
        <v>6596500</v>
      </c>
      <c r="H29" s="219">
        <f t="shared" si="2"/>
        <v>0.013866708485063411</v>
      </c>
      <c r="I29" s="227">
        <f t="shared" si="5"/>
        <v>6443600</v>
      </c>
      <c r="J29" s="221">
        <f t="shared" si="4"/>
        <v>0.013866708485063411</v>
      </c>
      <c r="K29" s="222"/>
      <c r="L29" s="228">
        <f t="shared" si="3"/>
        <v>441100</v>
      </c>
      <c r="M29" s="213"/>
      <c r="N29" s="224"/>
      <c r="O29" s="224"/>
      <c r="P29" s="224"/>
      <c r="Q29" s="224"/>
      <c r="R29" s="224"/>
      <c r="S29" s="224"/>
    </row>
    <row r="30" spans="1:19" ht="15">
      <c r="A30" s="215"/>
      <c r="B30" s="208" t="s">
        <v>108</v>
      </c>
      <c r="C30" s="229">
        <v>10699700</v>
      </c>
      <c r="D30" s="217">
        <f t="shared" si="0"/>
        <v>0.0246128655745609</v>
      </c>
      <c r="E30" s="391">
        <f>ROUND(12781267/100,0)*100</f>
        <v>12781300</v>
      </c>
      <c r="F30" s="218">
        <f t="shared" si="1"/>
        <v>0.024045529096457914</v>
      </c>
      <c r="G30" s="189">
        <f>ROUND(11754735/100,0)*100</f>
        <v>11754700</v>
      </c>
      <c r="H30" s="219">
        <f t="shared" si="2"/>
        <v>0.024709921659876434</v>
      </c>
      <c r="I30" s="227">
        <f t="shared" si="5"/>
        <v>11482200</v>
      </c>
      <c r="J30" s="221">
        <f t="shared" si="4"/>
        <v>0.024709921659876434</v>
      </c>
      <c r="K30" s="222"/>
      <c r="L30" s="228">
        <f t="shared" si="3"/>
        <v>782500</v>
      </c>
      <c r="M30" s="213"/>
      <c r="N30" s="224"/>
      <c r="O30" s="224"/>
      <c r="P30" s="224"/>
      <c r="Q30" s="224"/>
      <c r="R30" s="224"/>
      <c r="S30" s="224"/>
    </row>
    <row r="31" spans="1:19" ht="15">
      <c r="A31" s="215"/>
      <c r="B31" s="208"/>
      <c r="C31" s="233"/>
      <c r="D31" s="231"/>
      <c r="E31" s="214"/>
      <c r="F31" s="232"/>
      <c r="G31" s="214"/>
      <c r="H31" s="230"/>
      <c r="I31" s="233"/>
      <c r="J31" s="234"/>
      <c r="K31" s="235"/>
      <c r="L31" s="228"/>
      <c r="M31" s="213"/>
      <c r="O31" s="224"/>
      <c r="P31" s="224"/>
      <c r="Q31" s="224"/>
      <c r="R31" s="224"/>
      <c r="S31" s="224"/>
    </row>
    <row r="32" spans="1:19" ht="15">
      <c r="A32" s="236"/>
      <c r="B32" s="237" t="s">
        <v>22</v>
      </c>
      <c r="C32" s="239">
        <f aca="true" t="shared" si="6" ref="C32:J32">SUM(C8:C30)</f>
        <v>434719800</v>
      </c>
      <c r="D32" s="238">
        <f t="shared" si="6"/>
        <v>0.9999999999999999</v>
      </c>
      <c r="E32" s="239">
        <f t="shared" si="6"/>
        <v>531545800</v>
      </c>
      <c r="F32" s="240">
        <f t="shared" si="6"/>
        <v>1</v>
      </c>
      <c r="G32" s="239">
        <f t="shared" si="6"/>
        <v>475707700</v>
      </c>
      <c r="H32" s="238">
        <f t="shared" si="6"/>
        <v>1.0000000000000002</v>
      </c>
      <c r="I32" s="239">
        <f>SUM(I8:I31)</f>
        <v>464678800</v>
      </c>
      <c r="J32" s="238">
        <f t="shared" si="6"/>
        <v>1.0000000000000002</v>
      </c>
      <c r="K32" s="241"/>
      <c r="L32" s="242">
        <f>SUM(L8:L31)</f>
        <v>29959000</v>
      </c>
      <c r="M32" s="243"/>
      <c r="O32" s="244"/>
      <c r="P32" s="245"/>
      <c r="Q32" s="244"/>
      <c r="R32" s="245"/>
      <c r="S32" s="244"/>
    </row>
    <row r="33" spans="3:13" ht="12.75">
      <c r="C33" s="246"/>
      <c r="D33" s="246"/>
      <c r="E33" s="246"/>
      <c r="F33" s="247"/>
      <c r="G33" s="246"/>
      <c r="H33" s="246"/>
      <c r="I33" s="245"/>
      <c r="J33" s="246"/>
      <c r="K33" s="246"/>
      <c r="L33" s="246"/>
      <c r="M33" s="245"/>
    </row>
    <row r="34" spans="1:14" ht="30" customHeight="1">
      <c r="A34" s="248"/>
      <c r="B34" s="421"/>
      <c r="C34" s="421"/>
      <c r="D34" s="421"/>
      <c r="E34" s="421"/>
      <c r="F34" s="421"/>
      <c r="G34" s="421"/>
      <c r="H34" s="421"/>
      <c r="I34" s="421"/>
      <c r="J34" s="421"/>
      <c r="K34" s="421"/>
      <c r="L34" s="421"/>
      <c r="M34" s="421"/>
      <c r="N34" s="190"/>
    </row>
    <row r="35" spans="9:12" ht="12.75">
      <c r="I35" s="249"/>
      <c r="J35" s="249"/>
      <c r="K35" s="249"/>
      <c r="L35" s="249"/>
    </row>
  </sheetData>
  <sheetProtection/>
  <mergeCells count="5">
    <mergeCell ref="B34:M34"/>
    <mergeCell ref="E4:M4"/>
    <mergeCell ref="E5:F5"/>
    <mergeCell ref="I5:J5"/>
    <mergeCell ref="K5:M5"/>
  </mergeCells>
  <printOptions/>
  <pageMargins left="0.5" right="0.5" top="0.5" bottom="0.5" header="0.5" footer="0.5"/>
  <pageSetup fitToHeight="1" fitToWidth="1" horizontalDpi="600" verticalDpi="600" orientation="landscape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California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Rodney Rideau</dc:creator>
  <cp:keywords/>
  <dc:description/>
  <cp:lastModifiedBy>sgordon</cp:lastModifiedBy>
  <cp:lastPrinted>2010-08-04T23:51:15Z</cp:lastPrinted>
  <dcterms:created xsi:type="dcterms:W3CDTF">2005-01-20T22:46:37Z</dcterms:created>
  <dcterms:modified xsi:type="dcterms:W3CDTF">2010-08-06T15:35:47Z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72WVDYXX2UNK-1717399031-74</vt:lpwstr>
  </property>
  <property fmtid="{D5CDD505-2E9C-101B-9397-08002B2CF9AE}" pid="4" name="_dlc_DocIdItemGu">
    <vt:lpwstr>f48493ce-429d-4a53-b523-6de7e168448a</vt:lpwstr>
  </property>
  <property fmtid="{D5CDD505-2E9C-101B-9397-08002B2CF9AE}" pid="5" name="_dlc_DocIdU">
    <vt:lpwstr>https://www2.calstate.edu/csu-system/about-the-csu/budget/_layouts/15/DocIdRedir.aspx?ID=72WVDYXX2UNK-1717399031-74, 72WVDYXX2UNK-1717399031-74</vt:lpwstr>
  </property>
</Properties>
</file>