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0455" yWindow="210" windowWidth="7260" windowHeight="9810" tabRatio="569"/>
  </bookViews>
  <sheets>
    <sheet name="(A) Budget Summary" sheetId="4" r:id="rId1"/>
    <sheet name="(B) Base Bud Adj" sheetId="3" r:id="rId2"/>
    <sheet name="(C) 11-12 Expenditure Adjust." sheetId="43" r:id="rId3"/>
    <sheet name="(D) Tuition Revenue" sheetId="50" r:id="rId4"/>
    <sheet name="(E) 2011-12 FTES " sheetId="40" r:id="rId5"/>
    <sheet name="(F) SUG " sheetId="51" r:id="rId6"/>
    <sheet name="(G) Interest Pymt Schedule" sheetId="44" r:id="rId7"/>
  </sheets>
  <definedNames>
    <definedName name="_xlnm.Print_Area" localSheetId="0">'(A) Budget Summary'!$A$1:$T$44</definedName>
    <definedName name="_xlnm.Print_Area" localSheetId="1">'(B) Base Bud Adj'!$A$1:$W$43</definedName>
    <definedName name="_xlnm.Print_Area" localSheetId="2">'(C) 11-12 Expenditure Adjust.'!$A$1:$T$40</definedName>
    <definedName name="_xlnm.Print_Area" localSheetId="3">'(D) Tuition Revenue'!$A$1:$AI$43</definedName>
    <definedName name="_xlnm.Print_Area" localSheetId="4">'(E) 2011-12 FTES '!$A$1:$J$44</definedName>
    <definedName name="_xlnm.Print_Area" localSheetId="5">'(F) SUG '!$A$1:$M$35</definedName>
    <definedName name="_xlnm.Print_Area" localSheetId="6">'(G) Interest Pymt Schedule'!$A$1:$J$35</definedName>
    <definedName name="_xlnm.Print_Titles" localSheetId="3">'(D) Tuition Revenue'!$A:$A,'(D) Tuition Revenue'!$1:$4</definedName>
  </definedNames>
  <calcPr calcId="125725"/>
</workbook>
</file>

<file path=xl/calcChain.xml><?xml version="1.0" encoding="utf-8"?>
<calcChain xmlns="http://schemas.openxmlformats.org/spreadsheetml/2006/main">
  <c r="F38" i="3"/>
  <c r="G32" i="43" l="1"/>
  <c r="G40" s="1"/>
  <c r="D38" i="3" l="1"/>
  <c r="C32" i="51" l="1"/>
  <c r="G30"/>
  <c r="E30"/>
  <c r="D30"/>
  <c r="G29"/>
  <c r="E29"/>
  <c r="D29"/>
  <c r="G28"/>
  <c r="E28"/>
  <c r="D28"/>
  <c r="G27"/>
  <c r="E27"/>
  <c r="D27"/>
  <c r="G26"/>
  <c r="E26"/>
  <c r="D26"/>
  <c r="G25"/>
  <c r="E25"/>
  <c r="D25"/>
  <c r="G24"/>
  <c r="E24"/>
  <c r="D24"/>
  <c r="G23"/>
  <c r="E23"/>
  <c r="D23"/>
  <c r="G22"/>
  <c r="E22"/>
  <c r="D22"/>
  <c r="G21"/>
  <c r="E21"/>
  <c r="D21"/>
  <c r="G20"/>
  <c r="E20"/>
  <c r="D20"/>
  <c r="G19"/>
  <c r="E19"/>
  <c r="D19"/>
  <c r="G18"/>
  <c r="E18"/>
  <c r="D18"/>
  <c r="G17"/>
  <c r="E17"/>
  <c r="D17"/>
  <c r="G16"/>
  <c r="E16"/>
  <c r="D16"/>
  <c r="G15"/>
  <c r="E15"/>
  <c r="D15"/>
  <c r="G14"/>
  <c r="E14"/>
  <c r="D14"/>
  <c r="G13"/>
  <c r="E13"/>
  <c r="D13"/>
  <c r="G12"/>
  <c r="E12"/>
  <c r="D12"/>
  <c r="G11"/>
  <c r="E11"/>
  <c r="D11"/>
  <c r="G10"/>
  <c r="E10"/>
  <c r="D10"/>
  <c r="G9"/>
  <c r="E9"/>
  <c r="D9"/>
  <c r="G8"/>
  <c r="E8"/>
  <c r="D8"/>
  <c r="D32" l="1"/>
  <c r="G32"/>
  <c r="H20" s="1"/>
  <c r="J20" s="1"/>
  <c r="I20" s="1"/>
  <c r="L20" s="1"/>
  <c r="P20" i="43" s="1"/>
  <c r="H12" i="51"/>
  <c r="J12" s="1"/>
  <c r="I12" s="1"/>
  <c r="L12" s="1"/>
  <c r="P12" i="43" s="1"/>
  <c r="H28" i="51"/>
  <c r="J28" s="1"/>
  <c r="I28" s="1"/>
  <c r="L28" s="1"/>
  <c r="P28" i="43" s="1"/>
  <c r="H19" i="51"/>
  <c r="J19" s="1"/>
  <c r="I19" s="1"/>
  <c r="L19" s="1"/>
  <c r="P19" i="43" s="1"/>
  <c r="H23" i="51"/>
  <c r="J23" s="1"/>
  <c r="I23" s="1"/>
  <c r="L23" s="1"/>
  <c r="P23" i="43" s="1"/>
  <c r="H14" i="51"/>
  <c r="J14" s="1"/>
  <c r="I14" s="1"/>
  <c r="L14" s="1"/>
  <c r="P14" i="43" s="1"/>
  <c r="H18" i="51"/>
  <c r="J18" s="1"/>
  <c r="I18" s="1"/>
  <c r="L18" s="1"/>
  <c r="P18" i="43" s="1"/>
  <c r="H26" i="51"/>
  <c r="J26" s="1"/>
  <c r="I26" s="1"/>
  <c r="L26" s="1"/>
  <c r="P26" i="43" s="1"/>
  <c r="H30" i="51"/>
  <c r="J30" s="1"/>
  <c r="I30" s="1"/>
  <c r="L30" s="1"/>
  <c r="P30" i="43" s="1"/>
  <c r="H9" i="51"/>
  <c r="J9" s="1"/>
  <c r="I9" s="1"/>
  <c r="L9" s="1"/>
  <c r="P9" i="43" s="1"/>
  <c r="H17" i="51"/>
  <c r="J17" s="1"/>
  <c r="I17" s="1"/>
  <c r="L17" s="1"/>
  <c r="P17" i="43" s="1"/>
  <c r="H21" i="51"/>
  <c r="J21" s="1"/>
  <c r="I21" s="1"/>
  <c r="L21" s="1"/>
  <c r="P21" i="43" s="1"/>
  <c r="H25" i="51"/>
  <c r="J25" s="1"/>
  <c r="I25" s="1"/>
  <c r="L25" s="1"/>
  <c r="P25" i="43" s="1"/>
  <c r="H29" i="51"/>
  <c r="J29" s="1"/>
  <c r="I29" s="1"/>
  <c r="L29" s="1"/>
  <c r="P29" i="43" s="1"/>
  <c r="E32" i="51"/>
  <c r="F9" s="1"/>
  <c r="H8"/>
  <c r="F21" l="1"/>
  <c r="H27"/>
  <c r="J27" s="1"/>
  <c r="I27" s="1"/>
  <c r="L27" s="1"/>
  <c r="P27" i="43" s="1"/>
  <c r="H11" i="51"/>
  <c r="J11" s="1"/>
  <c r="I11" s="1"/>
  <c r="L11" s="1"/>
  <c r="P11" i="43" s="1"/>
  <c r="H16" i="51"/>
  <c r="J16" s="1"/>
  <c r="I16" s="1"/>
  <c r="L16" s="1"/>
  <c r="P16" i="43" s="1"/>
  <c r="H24" i="51"/>
  <c r="J24" s="1"/>
  <c r="I24" s="1"/>
  <c r="L24" s="1"/>
  <c r="P24" i="43" s="1"/>
  <c r="F28" i="51"/>
  <c r="H13"/>
  <c r="J13" s="1"/>
  <c r="I13" s="1"/>
  <c r="L13" s="1"/>
  <c r="P13" i="43" s="1"/>
  <c r="H22" i="51"/>
  <c r="J22" s="1"/>
  <c r="I22" s="1"/>
  <c r="L22" s="1"/>
  <c r="P22" i="43" s="1"/>
  <c r="H10" i="51"/>
  <c r="J10" s="1"/>
  <c r="I10" s="1"/>
  <c r="L10" s="1"/>
  <c r="P10" i="43" s="1"/>
  <c r="H15" i="51"/>
  <c r="J15" s="1"/>
  <c r="I15" s="1"/>
  <c r="L15" s="1"/>
  <c r="P15" i="43" s="1"/>
  <c r="F20" i="51"/>
  <c r="F13"/>
  <c r="F26"/>
  <c r="F18"/>
  <c r="F10"/>
  <c r="F23"/>
  <c r="F15"/>
  <c r="F29"/>
  <c r="F30"/>
  <c r="F22"/>
  <c r="F14"/>
  <c r="F27"/>
  <c r="F19"/>
  <c r="F11"/>
  <c r="F12"/>
  <c r="J8"/>
  <c r="F24"/>
  <c r="F16"/>
  <c r="F8"/>
  <c r="F25"/>
  <c r="F17"/>
  <c r="H32" l="1"/>
  <c r="F32"/>
  <c r="J32"/>
  <c r="I8"/>
  <c r="I32" l="1"/>
  <c r="L8"/>
  <c r="L32" l="1"/>
  <c r="P8" i="43"/>
  <c r="AC38" i="50" l="1"/>
  <c r="W38"/>
  <c r="V38"/>
  <c r="AF38" s="1"/>
  <c r="T38"/>
  <c r="AD38" s="1"/>
  <c r="AC37"/>
  <c r="AB37"/>
  <c r="AA37"/>
  <c r="Z37"/>
  <c r="Y37"/>
  <c r="W37"/>
  <c r="V37"/>
  <c r="T37"/>
  <c r="U37" s="1"/>
  <c r="AE37" s="1"/>
  <c r="M37"/>
  <c r="K37"/>
  <c r="AF36"/>
  <c r="AE36"/>
  <c r="AD36"/>
  <c r="AC36"/>
  <c r="AB36"/>
  <c r="AA36"/>
  <c r="Z36"/>
  <c r="Y36"/>
  <c r="W36"/>
  <c r="AE35"/>
  <c r="AB35"/>
  <c r="AA35"/>
  <c r="Z35"/>
  <c r="Y35"/>
  <c r="W35"/>
  <c r="V35"/>
  <c r="AF35" s="1"/>
  <c r="T35"/>
  <c r="AD35" s="1"/>
  <c r="J35"/>
  <c r="AC35" s="1"/>
  <c r="AC34"/>
  <c r="AB34"/>
  <c r="W34"/>
  <c r="V34"/>
  <c r="T34"/>
  <c r="U34" s="1"/>
  <c r="AE34" s="1"/>
  <c r="M34"/>
  <c r="AF34" s="1"/>
  <c r="K34"/>
  <c r="U32"/>
  <c r="S32"/>
  <c r="S40" s="1"/>
  <c r="R32"/>
  <c r="R40" s="1"/>
  <c r="Q32"/>
  <c r="Q40" s="1"/>
  <c r="P32"/>
  <c r="P40" s="1"/>
  <c r="O32"/>
  <c r="O40" s="1"/>
  <c r="N32"/>
  <c r="N40" s="1"/>
  <c r="J32"/>
  <c r="J40" s="1"/>
  <c r="H32"/>
  <c r="H40" s="1"/>
  <c r="F32"/>
  <c r="F40" s="1"/>
  <c r="E32"/>
  <c r="E40" s="1"/>
  <c r="D32"/>
  <c r="D40" s="1"/>
  <c r="C32"/>
  <c r="C40" s="1"/>
  <c r="B32"/>
  <c r="B40" s="1"/>
  <c r="AE30"/>
  <c r="AC30"/>
  <c r="AB30"/>
  <c r="AA30"/>
  <c r="Z30"/>
  <c r="Y30"/>
  <c r="X30"/>
  <c r="W30"/>
  <c r="V30"/>
  <c r="T30"/>
  <c r="M30"/>
  <c r="AF30" s="1"/>
  <c r="K30"/>
  <c r="AE29"/>
  <c r="AC29"/>
  <c r="AB29"/>
  <c r="AA29"/>
  <c r="Z29"/>
  <c r="Y29"/>
  <c r="X29"/>
  <c r="W29"/>
  <c r="V29"/>
  <c r="T29"/>
  <c r="M29"/>
  <c r="AF29" s="1"/>
  <c r="K29"/>
  <c r="AE28"/>
  <c r="AC28"/>
  <c r="AB28"/>
  <c r="AA28"/>
  <c r="Z28"/>
  <c r="Y28"/>
  <c r="X28"/>
  <c r="W28"/>
  <c r="V28"/>
  <c r="T28"/>
  <c r="M28"/>
  <c r="AF28" s="1"/>
  <c r="K28"/>
  <c r="AD28" s="1"/>
  <c r="AE27"/>
  <c r="AC27"/>
  <c r="AB27"/>
  <c r="AA27"/>
  <c r="Z27"/>
  <c r="Y27"/>
  <c r="X27"/>
  <c r="W27"/>
  <c r="V27"/>
  <c r="T27"/>
  <c r="M27"/>
  <c r="AF27" s="1"/>
  <c r="K27"/>
  <c r="AE26"/>
  <c r="AC26"/>
  <c r="AB26"/>
  <c r="AA26"/>
  <c r="Z26"/>
  <c r="Y26"/>
  <c r="X26"/>
  <c r="W26"/>
  <c r="V26"/>
  <c r="T26"/>
  <c r="M26"/>
  <c r="AF26" s="1"/>
  <c r="K26"/>
  <c r="AE25"/>
  <c r="AC25"/>
  <c r="AB25"/>
  <c r="AA25"/>
  <c r="Z25"/>
  <c r="Y25"/>
  <c r="X25"/>
  <c r="W25"/>
  <c r="AG25" s="1"/>
  <c r="N26" i="4" s="1"/>
  <c r="V25" i="50"/>
  <c r="T25"/>
  <c r="M25"/>
  <c r="K25"/>
  <c r="AE24"/>
  <c r="AC24"/>
  <c r="AB24"/>
  <c r="AA24"/>
  <c r="Z24"/>
  <c r="Y24"/>
  <c r="X24"/>
  <c r="W24"/>
  <c r="V24"/>
  <c r="T24"/>
  <c r="M24"/>
  <c r="K24"/>
  <c r="AD24" s="1"/>
  <c r="AE23"/>
  <c r="AC23"/>
  <c r="AB23"/>
  <c r="AA23"/>
  <c r="Z23"/>
  <c r="Y23"/>
  <c r="X23"/>
  <c r="W23"/>
  <c r="V23"/>
  <c r="T23"/>
  <c r="M23"/>
  <c r="K23"/>
  <c r="AD23" s="1"/>
  <c r="AE22"/>
  <c r="AC22"/>
  <c r="AB22"/>
  <c r="AA22"/>
  <c r="Z22"/>
  <c r="Y22"/>
  <c r="X22"/>
  <c r="W22"/>
  <c r="V22"/>
  <c r="T22"/>
  <c r="M22"/>
  <c r="AF22" s="1"/>
  <c r="K22"/>
  <c r="AE21"/>
  <c r="AC21"/>
  <c r="AB21"/>
  <c r="AA21"/>
  <c r="Z21"/>
  <c r="Y21"/>
  <c r="X21"/>
  <c r="W21"/>
  <c r="V21"/>
  <c r="T21"/>
  <c r="M21"/>
  <c r="AF21" s="1"/>
  <c r="K21"/>
  <c r="AE20"/>
  <c r="AC20"/>
  <c r="AB20"/>
  <c r="AA20"/>
  <c r="Z20"/>
  <c r="Y20"/>
  <c r="X20"/>
  <c r="W20"/>
  <c r="V20"/>
  <c r="T20"/>
  <c r="M20"/>
  <c r="K20"/>
  <c r="AD20" s="1"/>
  <c r="AE19"/>
  <c r="AC19"/>
  <c r="AB19"/>
  <c r="AA19"/>
  <c r="Z19"/>
  <c r="Y19"/>
  <c r="X19"/>
  <c r="W19"/>
  <c r="V19"/>
  <c r="T19"/>
  <c r="M19"/>
  <c r="AF19" s="1"/>
  <c r="K19"/>
  <c r="AE18"/>
  <c r="AC18"/>
  <c r="AB18"/>
  <c r="AA18"/>
  <c r="Z18"/>
  <c r="Y18"/>
  <c r="X18"/>
  <c r="W18"/>
  <c r="V18"/>
  <c r="T18"/>
  <c r="M18"/>
  <c r="AF18" s="1"/>
  <c r="K18"/>
  <c r="AE17"/>
  <c r="AC17"/>
  <c r="AB17"/>
  <c r="AA17"/>
  <c r="Z17"/>
  <c r="Y17"/>
  <c r="X17"/>
  <c r="W17"/>
  <c r="V17"/>
  <c r="T17"/>
  <c r="M17"/>
  <c r="AF17" s="1"/>
  <c r="K17"/>
  <c r="AE16"/>
  <c r="AC16"/>
  <c r="AB16"/>
  <c r="AA16"/>
  <c r="Z16"/>
  <c r="Y16"/>
  <c r="X16"/>
  <c r="W16"/>
  <c r="V16"/>
  <c r="T16"/>
  <c r="AD16" s="1"/>
  <c r="M16"/>
  <c r="K16"/>
  <c r="AE15"/>
  <c r="AC15"/>
  <c r="AB15"/>
  <c r="AA15"/>
  <c r="Z15"/>
  <c r="Y15"/>
  <c r="X15"/>
  <c r="W15"/>
  <c r="V15"/>
  <c r="T15"/>
  <c r="M15"/>
  <c r="K15"/>
  <c r="AE14"/>
  <c r="AC14"/>
  <c r="AB14"/>
  <c r="AA14"/>
  <c r="Z14"/>
  <c r="Y14"/>
  <c r="X14"/>
  <c r="W14"/>
  <c r="V14"/>
  <c r="AF14" s="1"/>
  <c r="T14"/>
  <c r="M14"/>
  <c r="K14"/>
  <c r="AE13"/>
  <c r="AC13"/>
  <c r="AB13"/>
  <c r="AA13"/>
  <c r="Z13"/>
  <c r="Y13"/>
  <c r="X13"/>
  <c r="W13"/>
  <c r="V13"/>
  <c r="T13"/>
  <c r="M13"/>
  <c r="K13"/>
  <c r="AE12"/>
  <c r="AC12"/>
  <c r="AB12"/>
  <c r="AA12"/>
  <c r="Z12"/>
  <c r="Y12"/>
  <c r="X12"/>
  <c r="W12"/>
  <c r="V12"/>
  <c r="T12"/>
  <c r="M12"/>
  <c r="K12"/>
  <c r="AE11"/>
  <c r="AC11"/>
  <c r="AB11"/>
  <c r="AA11"/>
  <c r="Z11"/>
  <c r="Y11"/>
  <c r="X11"/>
  <c r="W11"/>
  <c r="V11"/>
  <c r="T11"/>
  <c r="M11"/>
  <c r="K11"/>
  <c r="AE10"/>
  <c r="AC10"/>
  <c r="AB10"/>
  <c r="AA10"/>
  <c r="Z10"/>
  <c r="Y10"/>
  <c r="X10"/>
  <c r="W10"/>
  <c r="V10"/>
  <c r="T10"/>
  <c r="AD10" s="1"/>
  <c r="M10"/>
  <c r="K10"/>
  <c r="AE9"/>
  <c r="AC9"/>
  <c r="AB9"/>
  <c r="AA9"/>
  <c r="Z9"/>
  <c r="Y9"/>
  <c r="X9"/>
  <c r="W9"/>
  <c r="V9"/>
  <c r="T9"/>
  <c r="M9"/>
  <c r="K9"/>
  <c r="AE8"/>
  <c r="AC8"/>
  <c r="AB8"/>
  <c r="AA8"/>
  <c r="Z8"/>
  <c r="Y8"/>
  <c r="X8"/>
  <c r="W8"/>
  <c r="V8"/>
  <c r="T8"/>
  <c r="M8"/>
  <c r="K8"/>
  <c r="AG22" l="1"/>
  <c r="N23" i="4" s="1"/>
  <c r="AD12" i="50"/>
  <c r="AG13"/>
  <c r="N14" i="4" s="1"/>
  <c r="AD17" i="50"/>
  <c r="AH17" s="1"/>
  <c r="N17" i="43" s="1"/>
  <c r="AD18" i="50"/>
  <c r="AD25"/>
  <c r="AD26"/>
  <c r="AD34"/>
  <c r="AG36"/>
  <c r="AH36"/>
  <c r="N36" i="43" s="1"/>
  <c r="AD8" i="50"/>
  <c r="AG9"/>
  <c r="N10" i="4" s="1"/>
  <c r="AF8" i="50"/>
  <c r="AF10"/>
  <c r="AF11"/>
  <c r="AF12"/>
  <c r="AH12" s="1"/>
  <c r="N12" i="43" s="1"/>
  <c r="AF13" i="50"/>
  <c r="AG18"/>
  <c r="N19" i="4" s="1"/>
  <c r="AG26" i="50"/>
  <c r="N27" i="4" s="1"/>
  <c r="AD27" i="50"/>
  <c r="AI36"/>
  <c r="N37" i="4"/>
  <c r="AG17" i="50"/>
  <c r="AG35"/>
  <c r="AH35"/>
  <c r="N35" i="43" s="1"/>
  <c r="AD37" i="50"/>
  <c r="AG37"/>
  <c r="N38" i="4" s="1"/>
  <c r="T32" i="50"/>
  <c r="T40" s="1"/>
  <c r="AF9"/>
  <c r="AD13"/>
  <c r="AG14"/>
  <c r="N15" i="4" s="1"/>
  <c r="AD15" i="50"/>
  <c r="AG16"/>
  <c r="N17" i="4" s="1"/>
  <c r="AD21" i="50"/>
  <c r="AG21"/>
  <c r="N22" i="4" s="1"/>
  <c r="AD22" i="50"/>
  <c r="AF23"/>
  <c r="AG30"/>
  <c r="N31" i="4" s="1"/>
  <c r="AF37" i="50"/>
  <c r="AD9"/>
  <c r="AG10"/>
  <c r="N11" i="4" s="1"/>
  <c r="AD11" i="50"/>
  <c r="AD14"/>
  <c r="AF15"/>
  <c r="AF16"/>
  <c r="AH16" s="1"/>
  <c r="N16" i="43" s="1"/>
  <c r="AD19" i="50"/>
  <c r="AH19" s="1"/>
  <c r="AG19"/>
  <c r="N20" i="4" s="1"/>
  <c r="AF25" i="50"/>
  <c r="AD29"/>
  <c r="AG29"/>
  <c r="N30" i="4" s="1"/>
  <c r="AD30" i="50"/>
  <c r="AH38"/>
  <c r="N38" i="43" s="1"/>
  <c r="AH18" i="50"/>
  <c r="Z32"/>
  <c r="Z40" s="1"/>
  <c r="AG20"/>
  <c r="N21" i="4" s="1"/>
  <c r="AG23" i="50"/>
  <c r="N24" i="4" s="1"/>
  <c r="W32" i="50"/>
  <c r="W40" s="1"/>
  <c r="AH9"/>
  <c r="Y32"/>
  <c r="Y40" s="1"/>
  <c r="AC32"/>
  <c r="AC40" s="1"/>
  <c r="AH10"/>
  <c r="AG11"/>
  <c r="AF20"/>
  <c r="AH20" s="1"/>
  <c r="N20" i="43" s="1"/>
  <c r="AH25" i="50"/>
  <c r="N25" i="43" s="1"/>
  <c r="AH26" i="50"/>
  <c r="AG27"/>
  <c r="N28" i="4" s="1"/>
  <c r="AH28" i="50"/>
  <c r="N28" i="43" s="1"/>
  <c r="AH29" i="50"/>
  <c r="N29" i="43" s="1"/>
  <c r="AG34" i="50"/>
  <c r="N35" i="4" s="1"/>
  <c r="AH8" i="50"/>
  <c r="N8" i="43" s="1"/>
  <c r="X32" i="50"/>
  <c r="X40" s="1"/>
  <c r="AB32"/>
  <c r="AB40" s="1"/>
  <c r="AH11"/>
  <c r="N11" i="43" s="1"/>
  <c r="AG12" i="50"/>
  <c r="AH13"/>
  <c r="N13" i="43" s="1"/>
  <c r="AH14" i="50"/>
  <c r="N14" i="43" s="1"/>
  <c r="AG15" i="50"/>
  <c r="N16" i="4" s="1"/>
  <c r="AF24" i="50"/>
  <c r="AH24" s="1"/>
  <c r="N24" i="43" s="1"/>
  <c r="AH27" i="50"/>
  <c r="N27" i="43" s="1"/>
  <c r="AG28" i="50"/>
  <c r="N29" i="4" s="1"/>
  <c r="AH34" i="50"/>
  <c r="N34" i="43" s="1"/>
  <c r="AH15" i="50"/>
  <c r="N15" i="43" s="1"/>
  <c r="AI16" i="50"/>
  <c r="V32"/>
  <c r="V40" s="1"/>
  <c r="AD32"/>
  <c r="AD40" s="1"/>
  <c r="AH21"/>
  <c r="AH22"/>
  <c r="AH30"/>
  <c r="N30" i="43" s="1"/>
  <c r="K32" i="50"/>
  <c r="K40" s="1"/>
  <c r="AA32"/>
  <c r="AA40" s="1"/>
  <c r="AE32"/>
  <c r="M32"/>
  <c r="M40" s="1"/>
  <c r="AH23"/>
  <c r="N23" i="43" s="1"/>
  <c r="AG24" i="50"/>
  <c r="N25" i="4" s="1"/>
  <c r="AG8" i="50"/>
  <c r="N9" i="4" s="1"/>
  <c r="U38" i="50"/>
  <c r="AE38" s="1"/>
  <c r="AG38" s="1"/>
  <c r="AH37" l="1"/>
  <c r="N19" i="43"/>
  <c r="AI19" i="50"/>
  <c r="N37" i="43"/>
  <c r="AI37" i="50"/>
  <c r="AI21"/>
  <c r="N21" i="43"/>
  <c r="AI30" i="50"/>
  <c r="AI13"/>
  <c r="AI18"/>
  <c r="N18" i="43"/>
  <c r="AI35" i="50"/>
  <c r="N36" i="4"/>
  <c r="AI12" i="50"/>
  <c r="N13" i="4"/>
  <c r="AI17" i="50"/>
  <c r="N18" i="4"/>
  <c r="AI38" i="50"/>
  <c r="N39" i="4"/>
  <c r="AI11" i="50"/>
  <c r="N12" i="4"/>
  <c r="AI9" i="50"/>
  <c r="N9" i="43"/>
  <c r="AI22" i="50"/>
  <c r="N22" i="43"/>
  <c r="AI14" i="50"/>
  <c r="AI29"/>
  <c r="AI26"/>
  <c r="N26" i="43"/>
  <c r="AI10" i="50"/>
  <c r="N10" i="43"/>
  <c r="AI25" i="50"/>
  <c r="AI15"/>
  <c r="AI23"/>
  <c r="AH32"/>
  <c r="AH40" s="1"/>
  <c r="AI8"/>
  <c r="AG32"/>
  <c r="AG40" s="1"/>
  <c r="AE40"/>
  <c r="AF32"/>
  <c r="AF40" s="1"/>
  <c r="AI20"/>
  <c r="AI24"/>
  <c r="AI28"/>
  <c r="AI34"/>
  <c r="AI27"/>
  <c r="U40"/>
  <c r="AI32" l="1"/>
  <c r="AI40" s="1"/>
  <c r="H43" i="43" l="1"/>
  <c r="H38"/>
  <c r="J38" i="3"/>
  <c r="J23" i="43" l="1"/>
  <c r="F3" i="3"/>
  <c r="H3"/>
  <c r="J3"/>
  <c r="V35"/>
  <c r="V36"/>
  <c r="V37"/>
  <c r="V38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9"/>
  <c r="V8"/>
  <c r="Q34"/>
  <c r="V34" s="1"/>
  <c r="T32"/>
  <c r="T40" s="1"/>
  <c r="S32"/>
  <c r="S40" s="1"/>
  <c r="R32"/>
  <c r="R40" s="1"/>
  <c r="Q32"/>
  <c r="Q40" s="1"/>
  <c r="V32" l="1"/>
  <c r="V40" s="1"/>
  <c r="L35"/>
  <c r="J36" i="4" s="1"/>
  <c r="J35" i="43"/>
  <c r="J36"/>
  <c r="J37"/>
  <c r="J34"/>
  <c r="J10"/>
  <c r="J11"/>
  <c r="J12"/>
  <c r="J13"/>
  <c r="J14"/>
  <c r="J15"/>
  <c r="J16"/>
  <c r="J17"/>
  <c r="J18"/>
  <c r="J20"/>
  <c r="J21"/>
  <c r="R21" s="1"/>
  <c r="J22"/>
  <c r="J24"/>
  <c r="J25"/>
  <c r="J26"/>
  <c r="J27"/>
  <c r="J28"/>
  <c r="J29"/>
  <c r="J30"/>
  <c r="J8"/>
  <c r="D36" i="40"/>
  <c r="D35"/>
  <c r="J38" i="43" l="1"/>
  <c r="H19"/>
  <c r="J19" s="1"/>
  <c r="H9"/>
  <c r="J9" s="1"/>
  <c r="J32" l="1"/>
  <c r="J40" s="1"/>
  <c r="L36" i="3"/>
  <c r="J37" i="4" s="1"/>
  <c r="J34" i="3"/>
  <c r="L34" s="1"/>
  <c r="J35" i="4" s="1"/>
  <c r="J10" i="3"/>
  <c r="L10" s="1"/>
  <c r="J11" i="4" s="1"/>
  <c r="J11" i="3"/>
  <c r="L11" s="1"/>
  <c r="J12" i="4" s="1"/>
  <c r="J12" i="3"/>
  <c r="L12" s="1"/>
  <c r="J13" i="4" s="1"/>
  <c r="J13" i="3"/>
  <c r="L13" s="1"/>
  <c r="J14" i="4" s="1"/>
  <c r="J14" i="3"/>
  <c r="L14" s="1"/>
  <c r="J15" i="4" s="1"/>
  <c r="J15" i="3"/>
  <c r="L15" s="1"/>
  <c r="J16" i="4" s="1"/>
  <c r="J16" i="3"/>
  <c r="L16" s="1"/>
  <c r="J17" i="4" s="1"/>
  <c r="J17" i="3"/>
  <c r="L17" s="1"/>
  <c r="J18" i="4" s="1"/>
  <c r="J18" i="3"/>
  <c r="L18" s="1"/>
  <c r="J19" i="4" s="1"/>
  <c r="J19" i="3"/>
  <c r="L19" s="1"/>
  <c r="J20" i="4" s="1"/>
  <c r="J20" i="3"/>
  <c r="L20" s="1"/>
  <c r="J21" i="4" s="1"/>
  <c r="J21" i="3"/>
  <c r="L21" s="1"/>
  <c r="J22" i="4" s="1"/>
  <c r="J22" i="3"/>
  <c r="L22" s="1"/>
  <c r="J23" i="4" s="1"/>
  <c r="J23" i="3"/>
  <c r="L23" s="1"/>
  <c r="J24" i="4" s="1"/>
  <c r="J24" i="3"/>
  <c r="L24" s="1"/>
  <c r="J25" i="4" s="1"/>
  <c r="J25" i="3"/>
  <c r="L25" s="1"/>
  <c r="J26" i="4" s="1"/>
  <c r="J26" i="3"/>
  <c r="L26" s="1"/>
  <c r="J27" i="4" s="1"/>
  <c r="J27" i="3"/>
  <c r="L27" s="1"/>
  <c r="J28" i="4" s="1"/>
  <c r="J28" i="3"/>
  <c r="L28" s="1"/>
  <c r="J29" i="4" s="1"/>
  <c r="J29" i="3"/>
  <c r="L29" s="1"/>
  <c r="J30" i="4" s="1"/>
  <c r="J30" i="3"/>
  <c r="L30" s="1"/>
  <c r="J31" i="4" s="1"/>
  <c r="J9" i="3"/>
  <c r="L9" s="1"/>
  <c r="J10" i="4" s="1"/>
  <c r="J8" i="3"/>
  <c r="L8" s="1"/>
  <c r="H38"/>
  <c r="L38" s="1"/>
  <c r="J39" i="4" s="1"/>
  <c r="B35" i="3"/>
  <c r="N35" s="1"/>
  <c r="B36"/>
  <c r="N36" s="1"/>
  <c r="B37"/>
  <c r="B34"/>
  <c r="B10"/>
  <c r="B11"/>
  <c r="B12"/>
  <c r="N12" s="1"/>
  <c r="B13"/>
  <c r="B14"/>
  <c r="B15"/>
  <c r="B16"/>
  <c r="N16" s="1"/>
  <c r="B17"/>
  <c r="B18"/>
  <c r="B19"/>
  <c r="B20"/>
  <c r="N20" s="1"/>
  <c r="B21"/>
  <c r="B22"/>
  <c r="B23"/>
  <c r="B24"/>
  <c r="N24" s="1"/>
  <c r="B25"/>
  <c r="B26"/>
  <c r="B27"/>
  <c r="B28"/>
  <c r="N28" s="1"/>
  <c r="B29"/>
  <c r="B30"/>
  <c r="B9"/>
  <c r="B8"/>
  <c r="S39" i="4"/>
  <c r="C39"/>
  <c r="B38" i="3" s="1"/>
  <c r="N30" l="1"/>
  <c r="N26"/>
  <c r="N22"/>
  <c r="N18"/>
  <c r="N14"/>
  <c r="N10"/>
  <c r="N29"/>
  <c r="N25"/>
  <c r="N21"/>
  <c r="N17"/>
  <c r="N13"/>
  <c r="N38"/>
  <c r="N34"/>
  <c r="N9"/>
  <c r="N27"/>
  <c r="N23"/>
  <c r="N19"/>
  <c r="N15"/>
  <c r="N11"/>
  <c r="N8"/>
  <c r="J9" i="4"/>
  <c r="L32" i="3"/>
  <c r="C8" i="43" l="1"/>
  <c r="L8" s="1"/>
  <c r="R38"/>
  <c r="L39" i="4" s="1"/>
  <c r="F33"/>
  <c r="F41" s="1"/>
  <c r="E33"/>
  <c r="E41" s="1"/>
  <c r="C33" l="1"/>
  <c r="C41" s="1"/>
  <c r="G10"/>
  <c r="E34" i="40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8"/>
  <c r="I10"/>
  <c r="H32" i="3"/>
  <c r="H40" s="1"/>
  <c r="F32"/>
  <c r="F40" s="1"/>
  <c r="B32"/>
  <c r="B40" s="1"/>
  <c r="B31" i="44"/>
  <c r="D29"/>
  <c r="F29" s="1"/>
  <c r="H29" s="1"/>
  <c r="J29" s="1"/>
  <c r="D28"/>
  <c r="F28" s="1"/>
  <c r="H28" s="1"/>
  <c r="J28" s="1"/>
  <c r="D27"/>
  <c r="F27" s="1"/>
  <c r="H27" s="1"/>
  <c r="J27" s="1"/>
  <c r="D26"/>
  <c r="F26" s="1"/>
  <c r="H26" s="1"/>
  <c r="J26" s="1"/>
  <c r="D25"/>
  <c r="F25" s="1"/>
  <c r="H25" s="1"/>
  <c r="J25" s="1"/>
  <c r="D24"/>
  <c r="F24" s="1"/>
  <c r="H24" s="1"/>
  <c r="J24" s="1"/>
  <c r="D23"/>
  <c r="F23" s="1"/>
  <c r="H23" s="1"/>
  <c r="J23" s="1"/>
  <c r="D22"/>
  <c r="F22" s="1"/>
  <c r="H22" s="1"/>
  <c r="J22" s="1"/>
  <c r="D21"/>
  <c r="F21" s="1"/>
  <c r="H21" s="1"/>
  <c r="J21" s="1"/>
  <c r="D20"/>
  <c r="F20" s="1"/>
  <c r="H20" s="1"/>
  <c r="J20" s="1"/>
  <c r="D19"/>
  <c r="F19" s="1"/>
  <c r="H19" s="1"/>
  <c r="J19" s="1"/>
  <c r="D18"/>
  <c r="F18" s="1"/>
  <c r="H18" s="1"/>
  <c r="J18" s="1"/>
  <c r="D17"/>
  <c r="F17" s="1"/>
  <c r="H17" s="1"/>
  <c r="J17" s="1"/>
  <c r="D16"/>
  <c r="F16" s="1"/>
  <c r="H16" s="1"/>
  <c r="J16" s="1"/>
  <c r="D15"/>
  <c r="F15" s="1"/>
  <c r="H15" s="1"/>
  <c r="J15" s="1"/>
  <c r="D14"/>
  <c r="F14" s="1"/>
  <c r="H14" s="1"/>
  <c r="J14" s="1"/>
  <c r="D13"/>
  <c r="F13" s="1"/>
  <c r="H13" s="1"/>
  <c r="J13" s="1"/>
  <c r="D12"/>
  <c r="F12" s="1"/>
  <c r="H12" s="1"/>
  <c r="J12" s="1"/>
  <c r="D11"/>
  <c r="F11" s="1"/>
  <c r="H11" s="1"/>
  <c r="J11" s="1"/>
  <c r="D10"/>
  <c r="F10" s="1"/>
  <c r="H10" s="1"/>
  <c r="J10" s="1"/>
  <c r="D9"/>
  <c r="F9" s="1"/>
  <c r="H9" s="1"/>
  <c r="J9" s="1"/>
  <c r="D8"/>
  <c r="F8" s="1"/>
  <c r="H8" s="1"/>
  <c r="J8" s="1"/>
  <c r="D7"/>
  <c r="R11" i="43" l="1"/>
  <c r="L12" i="4" s="1"/>
  <c r="R24" i="43"/>
  <c r="L25" i="4" s="1"/>
  <c r="R16" i="43"/>
  <c r="L17" i="4" s="1"/>
  <c r="R29" i="43"/>
  <c r="L30" i="4" s="1"/>
  <c r="R25" i="43"/>
  <c r="L26" i="4" s="1"/>
  <c r="R30" i="43"/>
  <c r="L31" i="4" s="1"/>
  <c r="R22" i="43"/>
  <c r="L23" i="4" s="1"/>
  <c r="R14" i="43"/>
  <c r="L15" i="4" s="1"/>
  <c r="R9" i="43"/>
  <c r="L10" i="4" s="1"/>
  <c r="R15" i="43"/>
  <c r="L16" i="4" s="1"/>
  <c r="R26" i="43"/>
  <c r="L27" i="4" s="1"/>
  <c r="R18" i="43"/>
  <c r="L19" i="4" s="1"/>
  <c r="R10" i="43"/>
  <c r="L11" i="4" s="1"/>
  <c r="D31" i="44"/>
  <c r="R28" i="43"/>
  <c r="L29" i="4" s="1"/>
  <c r="R20" i="43"/>
  <c r="L21" i="4" s="1"/>
  <c r="R12" i="43"/>
  <c r="L13" i="4" s="1"/>
  <c r="L22"/>
  <c r="R37" i="43"/>
  <c r="L38" i="4" s="1"/>
  <c r="R34" i="43"/>
  <c r="L35" i="4" s="1"/>
  <c r="I11" i="40"/>
  <c r="F7" i="44"/>
  <c r="R19" i="43" l="1"/>
  <c r="L20" i="4" s="1"/>
  <c r="R13" i="43"/>
  <c r="L14" i="4" s="1"/>
  <c r="R23" i="43"/>
  <c r="L24" i="4" s="1"/>
  <c r="R27" i="43"/>
  <c r="L28" i="4" s="1"/>
  <c r="R17" i="43"/>
  <c r="L18" i="4" s="1"/>
  <c r="R35" i="43"/>
  <c r="L36" i="4" s="1"/>
  <c r="R36" i="43"/>
  <c r="H7" i="44"/>
  <c r="F31"/>
  <c r="N32" i="43" l="1"/>
  <c r="N40" s="1"/>
  <c r="L37" i="4"/>
  <c r="H31" i="44"/>
  <c r="J7"/>
  <c r="J31" s="1"/>
  <c r="F32" i="43" l="1"/>
  <c r="F40" s="1"/>
  <c r="E32"/>
  <c r="E40" s="1"/>
  <c r="R8" l="1"/>
  <c r="P32"/>
  <c r="P40" s="1"/>
  <c r="H32"/>
  <c r="H40" s="1"/>
  <c r="G32" i="40"/>
  <c r="G40" s="1"/>
  <c r="B32"/>
  <c r="B40" s="1"/>
  <c r="R32" i="43" l="1"/>
  <c r="R40" s="1"/>
  <c r="L9" i="4"/>
  <c r="T8" i="43"/>
  <c r="I34" i="40"/>
  <c r="I35"/>
  <c r="I36"/>
  <c r="R9" i="4"/>
  <c r="R14"/>
  <c r="R39" l="1"/>
  <c r="R11"/>
  <c r="R13"/>
  <c r="R17"/>
  <c r="R26"/>
  <c r="R29"/>
  <c r="R35"/>
  <c r="L33"/>
  <c r="R21"/>
  <c r="R38"/>
  <c r="R37"/>
  <c r="R36"/>
  <c r="R24"/>
  <c r="R22"/>
  <c r="S10"/>
  <c r="S9"/>
  <c r="B3" i="3"/>
  <c r="C9" i="43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D32" i="3"/>
  <c r="D40" s="1"/>
  <c r="C34" i="43"/>
  <c r="C35"/>
  <c r="C36"/>
  <c r="C38"/>
  <c r="G9" i="4"/>
  <c r="G11"/>
  <c r="S11"/>
  <c r="G12"/>
  <c r="S12"/>
  <c r="G13"/>
  <c r="S13"/>
  <c r="G14"/>
  <c r="S14"/>
  <c r="G15"/>
  <c r="S15"/>
  <c r="G16"/>
  <c r="S16"/>
  <c r="G17"/>
  <c r="S17"/>
  <c r="G18"/>
  <c r="S18"/>
  <c r="G19"/>
  <c r="S19"/>
  <c r="G20"/>
  <c r="S20"/>
  <c r="G21"/>
  <c r="S21"/>
  <c r="G22"/>
  <c r="S22"/>
  <c r="G23"/>
  <c r="S23"/>
  <c r="G24"/>
  <c r="S24"/>
  <c r="G25"/>
  <c r="S25"/>
  <c r="G26"/>
  <c r="S26"/>
  <c r="G27"/>
  <c r="S27"/>
  <c r="G28"/>
  <c r="S28"/>
  <c r="G29"/>
  <c r="S29"/>
  <c r="G30"/>
  <c r="S30"/>
  <c r="G31"/>
  <c r="S31"/>
  <c r="G35"/>
  <c r="S35"/>
  <c r="G36"/>
  <c r="S36"/>
  <c r="G37"/>
  <c r="S37"/>
  <c r="G38"/>
  <c r="S38"/>
  <c r="J32" i="3"/>
  <c r="S33" i="4" l="1"/>
  <c r="S41" s="1"/>
  <c r="L36" i="43"/>
  <c r="T36"/>
  <c r="L34"/>
  <c r="T34"/>
  <c r="L30"/>
  <c r="T30"/>
  <c r="L28"/>
  <c r="T28"/>
  <c r="L26"/>
  <c r="T26"/>
  <c r="L24"/>
  <c r="T24"/>
  <c r="L22"/>
  <c r="T22"/>
  <c r="L20"/>
  <c r="T20"/>
  <c r="L18"/>
  <c r="T18"/>
  <c r="L16"/>
  <c r="T16"/>
  <c r="L14"/>
  <c r="T14"/>
  <c r="L12"/>
  <c r="T12"/>
  <c r="L10"/>
  <c r="T10"/>
  <c r="L38"/>
  <c r="T38"/>
  <c r="L35"/>
  <c r="T35"/>
  <c r="L29"/>
  <c r="T29"/>
  <c r="L27"/>
  <c r="T27"/>
  <c r="L25"/>
  <c r="T25"/>
  <c r="L23"/>
  <c r="T23"/>
  <c r="L21"/>
  <c r="T21"/>
  <c r="L19"/>
  <c r="T19"/>
  <c r="L17"/>
  <c r="T17"/>
  <c r="L15"/>
  <c r="T15"/>
  <c r="L13"/>
  <c r="T13"/>
  <c r="L11"/>
  <c r="T11"/>
  <c r="L9"/>
  <c r="T9"/>
  <c r="C32"/>
  <c r="N32" i="3"/>
  <c r="G33" i="4"/>
  <c r="R30"/>
  <c r="R19"/>
  <c r="R16"/>
  <c r="R12"/>
  <c r="R31"/>
  <c r="R23"/>
  <c r="R18"/>
  <c r="R27"/>
  <c r="R28"/>
  <c r="R25"/>
  <c r="R20"/>
  <c r="R15"/>
  <c r="R10"/>
  <c r="Q9"/>
  <c r="Q23"/>
  <c r="T32" i="43" l="1"/>
  <c r="L32"/>
  <c r="Q36" i="4"/>
  <c r="T36" s="1"/>
  <c r="Q15"/>
  <c r="T15" s="1"/>
  <c r="Q13"/>
  <c r="T13" s="1"/>
  <c r="Q17"/>
  <c r="T17" s="1"/>
  <c r="Q35"/>
  <c r="T35" s="1"/>
  <c r="Q25"/>
  <c r="T25" s="1"/>
  <c r="Q21"/>
  <c r="T21" s="1"/>
  <c r="Q37"/>
  <c r="T37" s="1"/>
  <c r="T23"/>
  <c r="Q11"/>
  <c r="T11" s="1"/>
  <c r="R33"/>
  <c r="R41" s="1"/>
  <c r="N33"/>
  <c r="N41" s="1"/>
  <c r="Q24" l="1"/>
  <c r="T24" s="1"/>
  <c r="Q14"/>
  <c r="T14" s="1"/>
  <c r="Q20"/>
  <c r="T20" s="1"/>
  <c r="Q12"/>
  <c r="T12" s="1"/>
  <c r="Q22"/>
  <c r="T22" s="1"/>
  <c r="Q18"/>
  <c r="T18" s="1"/>
  <c r="Q19"/>
  <c r="T19" s="1"/>
  <c r="Q27"/>
  <c r="T27" s="1"/>
  <c r="Q31"/>
  <c r="T31" s="1"/>
  <c r="Q16"/>
  <c r="T16" s="1"/>
  <c r="Q26"/>
  <c r="T26" s="1"/>
  <c r="Q28"/>
  <c r="T28" s="1"/>
  <c r="Q30"/>
  <c r="T30" s="1"/>
  <c r="Q29"/>
  <c r="T29" s="1"/>
  <c r="T9"/>
  <c r="Q10" l="1"/>
  <c r="T10" s="1"/>
  <c r="J33" l="1"/>
  <c r="T33" l="1"/>
  <c r="Q33"/>
  <c r="I29" i="40"/>
  <c r="I30"/>
  <c r="I28"/>
  <c r="I26"/>
  <c r="I24"/>
  <c r="I22"/>
  <c r="I20"/>
  <c r="I18"/>
  <c r="I16"/>
  <c r="I14"/>
  <c r="I12"/>
  <c r="I27"/>
  <c r="I25"/>
  <c r="I23"/>
  <c r="I21"/>
  <c r="I19"/>
  <c r="I17"/>
  <c r="I15"/>
  <c r="I13"/>
  <c r="D32"/>
  <c r="I9"/>
  <c r="E32" l="1"/>
  <c r="I8"/>
  <c r="I32" s="1"/>
  <c r="L41" i="4" l="1"/>
  <c r="Q39"/>
  <c r="G39"/>
  <c r="G41" s="1"/>
  <c r="T39" l="1"/>
  <c r="E38" i="40"/>
  <c r="I38" s="1"/>
  <c r="D40"/>
  <c r="E37"/>
  <c r="J37" i="3"/>
  <c r="L37" s="1"/>
  <c r="E40" i="40" l="1"/>
  <c r="J38" i="4"/>
  <c r="N37" i="3"/>
  <c r="L40"/>
  <c r="J40"/>
  <c r="I37" i="40"/>
  <c r="I40" s="1"/>
  <c r="Q38" i="4" l="1"/>
  <c r="J41"/>
  <c r="N40" i="3"/>
  <c r="C37" i="43"/>
  <c r="T37" s="1"/>
  <c r="T38" i="4" l="1"/>
  <c r="T41" s="1"/>
  <c r="Q41"/>
  <c r="L37" i="43"/>
  <c r="C40"/>
  <c r="T40" l="1"/>
  <c r="L40"/>
</calcChain>
</file>

<file path=xl/sharedStrings.xml><?xml version="1.0" encoding="utf-8"?>
<sst xmlns="http://schemas.openxmlformats.org/spreadsheetml/2006/main" count="372" uniqueCount="203">
  <si>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</si>
  <si>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</si>
  <si>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</si>
  <si>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</si>
  <si>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</si>
  <si>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</si>
  <si>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</si>
  <si>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</si>
  <si>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</si>
  <si>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</si>
  <si>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</si>
  <si>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</si>
  <si>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</si>
  <si>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</si>
  <si>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</si>
  <si>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</si>
  <si>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</si>
  <si>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</si>
  <si>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</si>
  <si>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</si>
  <si>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</si>
  <si>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</si>
  <si>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</si>
  <si>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</si>
  <si>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</si>
  <si>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</si>
  <si>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</si>
  <si>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</si>
  <si>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Campus Reported Gross         Final Budget</t>
  </si>
  <si>
    <t>East Bay</t>
  </si>
  <si>
    <t>CalStateTeach</t>
  </si>
  <si>
    <t>Energy</t>
  </si>
  <si>
    <t>Health</t>
  </si>
  <si>
    <t>Quarterly Payment Schedule</t>
  </si>
  <si>
    <t>Campus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</si>
  <si>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</si>
  <si>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</si>
  <si>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t>(Sum Cols. 1-3)</t>
  </si>
  <si>
    <t>Unadjusted Other Fee Revenue and Reim.</t>
  </si>
  <si>
    <t>Grand Total</t>
  </si>
  <si>
    <t>Sub-Totals</t>
  </si>
  <si>
    <t>Change in Student Enrollment Patterns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</si>
  <si>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</si>
  <si>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</si>
  <si>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</si>
  <si>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</si>
  <si>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</si>
  <si>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</si>
  <si>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</si>
  <si>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</si>
  <si>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</si>
  <si>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</si>
  <si>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</si>
  <si>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</si>
  <si>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</si>
  <si>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</si>
  <si>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</si>
  <si>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</si>
  <si>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</si>
  <si>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</si>
  <si>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</si>
  <si>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</si>
  <si>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</si>
  <si>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TOTALS</t>
  </si>
  <si>
    <t>(Cols. 2 - 1)</t>
  </si>
  <si>
    <t>CSU Resident Full-Time Equivalent Students</t>
  </si>
  <si>
    <r>
      <t xml:space="preserve">Resident Students </t>
    </r>
    <r>
      <rPr>
        <b/>
        <vertAlign val="superscript"/>
        <sz val="11"/>
        <rFont val="Times New Roman"/>
        <family val="1"/>
      </rPr>
      <t>1</t>
    </r>
  </si>
  <si>
    <r>
      <t xml:space="preserve">2010/11 FTES B 10-04 Baseline </t>
    </r>
    <r>
      <rPr>
        <vertAlign val="superscript"/>
        <sz val="11"/>
        <rFont val="Times New Roman"/>
        <family val="1"/>
      </rPr>
      <t>1</t>
    </r>
  </si>
  <si>
    <t>(Cols. 2 + 7)</t>
  </si>
  <si>
    <t>(Cols. 1 + 5 + 6)</t>
  </si>
  <si>
    <t>(Sum Cols. 8-10)</t>
  </si>
  <si>
    <t>ATTACHMENT G - CSU Operating Revenue - 2011/12 Interest Payment Schedule</t>
  </si>
  <si>
    <t>(Included with the 2011/12 budget allocation memo for information only)</t>
  </si>
  <si>
    <t xml:space="preserve">The 2011/12 interest chargeback by campus is based on the campus operating revenue equivalent to the 2010/11 Tuition and Other Fee Revenue reported in 2010/11 FIRMS final budget submissions. </t>
  </si>
  <si>
    <t>2010/11 FIRMS Final Budget Detail</t>
  </si>
  <si>
    <t xml:space="preserve">General Fund Allocation </t>
  </si>
  <si>
    <t>2010/11 B 10-04 General Fund Allocation</t>
  </si>
  <si>
    <t>Dental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</si>
  <si>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Reference Attachment E for corresponding FTES by campus.</t>
    </r>
  </si>
  <si>
    <r>
      <t xml:space="preserve">2011/12 Non-resident FTES </t>
    </r>
    <r>
      <rPr>
        <vertAlign val="superscript"/>
        <sz val="11"/>
        <rFont val="Times New Roman"/>
        <family val="1"/>
      </rPr>
      <t>2</t>
    </r>
  </si>
  <si>
    <t xml:space="preserve">2011/12 Total FTES </t>
  </si>
  <si>
    <t>SUG Academic Year (AY) Eligibility Based on 2009/10 Final Database With 2011/12 Fee Levels</t>
  </si>
  <si>
    <t>SUG AY Eligibility Further Adjusted to Reflect Funded Enrollment Targets from 2009/10 to 2011/12</t>
  </si>
  <si>
    <r>
      <t xml:space="preserve">B 10-04 2010/11 Allocations - October 2010 </t>
    </r>
    <r>
      <rPr>
        <vertAlign val="superscript"/>
        <sz val="11"/>
        <color theme="1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</si>
  <si>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For purposes of fee revenue and SUG calculations, the 2010/11 FTES B 10-04 baseline was 326,290 FTES.</t>
    </r>
  </si>
  <si>
    <r>
      <t xml:space="preserve">1 </t>
    </r>
    <r>
      <rPr>
        <sz val="10"/>
        <color theme="1"/>
        <rFont val="Times New Roman"/>
        <family val="1"/>
      </rPr>
      <t>For purposes of fee revenue and SUG calculations, the 2010/11 FTES B 10-04 baseline was 326,290 FTES.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</si>
  <si>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2011/12 operating revenue interest to be assessed is $3.526M, which represents a $3.714M decrease to the 2010/11 $7.240M level.  CSU is obligated by budget statute to keep the State whole for interest earned on student fee revenue held in trust. This was the result of a State/CSU agreement when CSU state support operations moved from the General Fund to the Trust Fund in 2006/07. </t>
    </r>
  </si>
  <si>
    <t>(Attach. F / Col. 3)</t>
  </si>
  <si>
    <t>Summer 2011 Change in Enrollment Patterns</t>
  </si>
  <si>
    <t>Full-Year Effect of Mid-Year 2010/11 Tuition Fee Rate Increase - 326,290 FTES</t>
  </si>
  <si>
    <t>Full-Year Effect of Mid-Year 2010/11 Tuition Fee Rate Increase</t>
  </si>
  <si>
    <t>-1/3rd of Col. 7</t>
  </si>
  <si>
    <t>= Col. 5</t>
  </si>
  <si>
    <r>
      <t xml:space="preserve">2 </t>
    </r>
    <r>
      <rPr>
        <sz val="10"/>
        <rFont val="Times New Roman"/>
        <family val="1"/>
      </rPr>
      <t xml:space="preserve">The nonresident FTES is equal to the 2009/10 actual FTES. </t>
    </r>
  </si>
  <si>
    <t>2011/12 Resident FTES Change</t>
  </si>
  <si>
    <t>One-Time Funding</t>
  </si>
  <si>
    <r>
      <t xml:space="preserve">2010/11 Retirement Adjustment </t>
    </r>
    <r>
      <rPr>
        <vertAlign val="superscript"/>
        <sz val="10"/>
        <rFont val="Times New Roman"/>
        <family val="1"/>
      </rPr>
      <t>1</t>
    </r>
  </si>
  <si>
    <t>(Ref. FTES Adjustments in Attach. E / Col. 2)</t>
  </si>
  <si>
    <t>$106M GF Restoration / Funded FTES Adjustments (2010/11 MC Rate of $7,305)</t>
  </si>
  <si>
    <t>Net Full-Year Spring 2011 Fee Increase Offset</t>
  </si>
  <si>
    <t>Remaining Adjustments</t>
  </si>
  <si>
    <t>Revised General Fund Base</t>
  </si>
  <si>
    <r>
      <t xml:space="preserve">GF Base Adjustments (SWPs) </t>
    </r>
    <r>
      <rPr>
        <vertAlign val="superscript"/>
        <sz val="10"/>
        <rFont val="Times New Roman"/>
        <family val="1"/>
      </rPr>
      <t>2</t>
    </r>
  </si>
  <si>
    <r>
      <t xml:space="preserve">2011/12 General Fund Base                   </t>
    </r>
    <r>
      <rPr>
        <i/>
        <sz val="9"/>
        <color theme="1"/>
        <rFont val="Times New Roman"/>
        <family val="1"/>
      </rPr>
      <t xml:space="preserve"> (before SUG Adjustments)</t>
    </r>
  </si>
  <si>
    <t>2011/12 Gross Budget Allocation</t>
  </si>
  <si>
    <t>B 11-01 Financial Aid Set-Aside</t>
  </si>
  <si>
    <t>Total Mandatory Costs</t>
  </si>
  <si>
    <r>
      <t xml:space="preserve">New Space Need </t>
    </r>
    <r>
      <rPr>
        <vertAlign val="superscript"/>
        <sz val="10"/>
        <color theme="1"/>
        <rFont val="Times New Roman"/>
        <family val="1"/>
      </rPr>
      <t>4</t>
    </r>
  </si>
  <si>
    <t>(a)</t>
  </si>
  <si>
    <t>(b)</t>
  </si>
  <si>
    <t xml:space="preserve">(c) </t>
  </si>
  <si>
    <t>(d)</t>
  </si>
  <si>
    <t>(Sum Cols. a-d)</t>
  </si>
  <si>
    <r>
      <t xml:space="preserve">2011/12 General Fund Base                           </t>
    </r>
    <r>
      <rPr>
        <i/>
        <sz val="9"/>
        <color theme="1"/>
        <rFont val="Times New Roman"/>
        <family val="1"/>
      </rPr>
      <t xml:space="preserve"> (after SUG Adjustments)</t>
    </r>
  </si>
  <si>
    <t>(Sum Cols. 2-5)</t>
  </si>
  <si>
    <t>(Attach. B, Col. 6)</t>
  </si>
  <si>
    <t>Financial Aid Adjustments</t>
  </si>
  <si>
    <t>General Fund</t>
  </si>
  <si>
    <t>GF Base Adjustments</t>
  </si>
  <si>
    <t>GF Expenditure Adjustments</t>
  </si>
  <si>
    <t>2011/12 Tuition Revenue Adjustment</t>
  </si>
  <si>
    <r>
      <t>Other Fee Revenue and SWP Reim.</t>
    </r>
    <r>
      <rPr>
        <vertAlign val="superscript"/>
        <sz val="10"/>
        <rFont val="Times New Roman"/>
        <family val="1"/>
      </rPr>
      <t>2</t>
    </r>
  </si>
  <si>
    <t>Tuition</t>
  </si>
  <si>
    <r>
      <t xml:space="preserve">2011/12 General Fund Base </t>
    </r>
    <r>
      <rPr>
        <sz val="9"/>
        <color indexed="8"/>
        <rFont val="Times New Roman"/>
        <family val="1"/>
      </rPr>
      <t xml:space="preserve">(after base budget adjustments) </t>
    </r>
  </si>
  <si>
    <t>(Cols. 1 + 6)</t>
  </si>
  <si>
    <t>Total GF Expenditure Adjustments</t>
  </si>
  <si>
    <r>
      <t xml:space="preserve">Change in Student Enrollment Patterns </t>
    </r>
    <r>
      <rPr>
        <vertAlign val="superscript"/>
        <sz val="10"/>
        <rFont val="Times New Roman"/>
        <family val="1"/>
      </rPr>
      <t>2</t>
    </r>
  </si>
  <si>
    <r>
      <t xml:space="preserve">Enrollment Increase from 326,290 to 331,716 FTES Baseline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</si>
  <si>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Based on 2011/12 new space need @ $9.80 per square foot.</t>
    </r>
  </si>
  <si>
    <t>(=Col. 3)</t>
  </si>
  <si>
    <t>(Attach. B, Col. 7)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</si>
  <si>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Amounts are the sum of 1/3rd of Column 3;  1/3rd of Column 4; and $1,061/FTES (2011/12 MC SUG) times FTES growth.</t>
    </r>
  </si>
  <si>
    <t>Note:  for those campuses with 2011 self-support summer, summer-term resident FTES was moved to the academic year and nonresident FTES was eliminated for purposes of tuition revenue calculations.</t>
  </si>
  <si>
    <t>2011/12 Budget Adjustments</t>
  </si>
  <si>
    <r>
      <t xml:space="preserve">Projected Mandatory Costs </t>
    </r>
    <r>
      <rPr>
        <b/>
        <vertAlign val="superscript"/>
        <sz val="12"/>
        <rFont val="Times New Roman"/>
        <family val="1"/>
      </rPr>
      <t>3</t>
    </r>
  </si>
  <si>
    <t>Campus Reported Tuition Fee Revenue</t>
  </si>
  <si>
    <t>Tuition Fee Revenue</t>
  </si>
  <si>
    <t>Represents other CSU Operating Fund fee revenue besides tuition fee; the only reimbursement shown is lease bond payments in SWPs.</t>
  </si>
  <si>
    <t xml:space="preserve">Adjustments in SUG Set-Aside from Enrollment Increase, Full-Year Effect of 2010/11 Mid-Year and Summer Tuition Fee Rate Change </t>
  </si>
  <si>
    <t>Adjustments in SUG Set-Aside from Full-Year Effect of 2010/11 Mid-Year and Summer Tuition Fee Rate Changes</t>
  </si>
  <si>
    <t>2010/11 Tuition Fee Rate Change Applied to Lagging Summer Term for Rate Change Purposes</t>
  </si>
  <si>
    <t>B 11-01 2011/12 Tuition Fee Revenue Adjustment - before Financial Aid Set-Aside</t>
  </si>
  <si>
    <t>B 11-01 2011/12 Tuition Fee Revenue Adjustment - Net of Financial Aid</t>
  </si>
  <si>
    <t>(Cols. 3 + 4)</t>
  </si>
  <si>
    <t>2011/12 April Budget Allocations, General Fund Base Adjustments</t>
  </si>
  <si>
    <t>2011/12 April Budget Allocations Resident FTES</t>
  </si>
  <si>
    <r>
      <t xml:space="preserve">B 10-04 General Fund Allocation </t>
    </r>
    <r>
      <rPr>
        <sz val="9"/>
        <rFont val="Times New Roman"/>
        <family val="1"/>
      </rPr>
      <t>(with $106.6M Fed. Funds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)</t>
    </r>
  </si>
  <si>
    <t>One-time $106,552,869 Federal Funds replaced General Fund in 2010/11.</t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</si>
  <si>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Total 2011/12 Resident FTES is 331,716.  The 2010/11 FTES baseline was 326,290 FTES. </t>
    </r>
  </si>
  <si>
    <t>ATTACHMENT A - 2011/12 Final Budget Allocations, Gross Budget Summary</t>
  </si>
  <si>
    <t>2011/12 CSU Final Budget Allocation Totals</t>
  </si>
  <si>
    <t xml:space="preserve">ATTACHMENT B - 2011/12 Final Budget Allocation Base Adjustments </t>
  </si>
  <si>
    <t xml:space="preserve">ATTACHMENT C - 2011/12 Final Budget Allocation, General Fund Expenditure Adjustments </t>
  </si>
  <si>
    <t>(4)</t>
  </si>
  <si>
    <t>(Cols. 6 + 8 + 9)</t>
  </si>
  <si>
    <t>(Cols. 1 + 10)</t>
  </si>
  <si>
    <t xml:space="preserve">ATTACHMENT E -  2011/12 Final Budget Allocations Enrollment </t>
  </si>
  <si>
    <r>
      <t>Net 10% AY Fee Increase Offset</t>
    </r>
    <r>
      <rPr>
        <sz val="8"/>
        <color theme="1"/>
        <rFont val="Times New Roman"/>
        <family val="1"/>
      </rPr>
      <t xml:space="preserve"> (BOT RFIN 11-10-11) </t>
    </r>
  </si>
  <si>
    <t>ATTACHMENT D --</t>
  </si>
  <si>
    <t>2011/12 Final Budget Allocations, Tuition Fee Revenue Adjustments</t>
  </si>
  <si>
    <t>2011/12 Final Budget Allocations, Tuition Fee Revenue Adjustments (CONT.)</t>
  </si>
  <si>
    <t>Nonresident Students</t>
  </si>
  <si>
    <t>Nonresident Students (cont.)</t>
  </si>
  <si>
    <t>2011/12 Tuition Fee Revenue from 10% Rate Increase - BOT RFIN 11-10-11 (331,716 FTES)</t>
  </si>
  <si>
    <t>One-Third Financial Aid Set-Aside on 10% Rate Increase</t>
  </si>
  <si>
    <t>One-Third Financial Aid Set-Aside on 12% Rate Increase</t>
  </si>
  <si>
    <t>2011/12 Tuition Fee Revenue from 10% Rate Increase - BOT RFIN 11-10-11</t>
  </si>
  <si>
    <t>-1/3rd of Col. 9</t>
  </si>
  <si>
    <t>-1/3rd of Col. 13 &amp; 14</t>
  </si>
  <si>
    <t>-1/3rd of Col. 16</t>
  </si>
  <si>
    <t>-1/3rd of Col. 18</t>
  </si>
  <si>
    <t>Col. 1 + 11</t>
  </si>
  <si>
    <t>Col. 2 + 12</t>
  </si>
  <si>
    <t>Col. 3 + 13</t>
  </si>
  <si>
    <t>Col. 4 + 14</t>
  </si>
  <si>
    <t>Col. 6 + 15</t>
  </si>
  <si>
    <t xml:space="preserve">Col. 7 + 16 </t>
  </si>
  <si>
    <t xml:space="preserve">Col. 8 + 17 </t>
  </si>
  <si>
    <t>Col. 9 + 18</t>
  </si>
  <si>
    <t>Cols. 20+21+22+ 23+24+26+28</t>
  </si>
  <si>
    <t>Col. 25 + 27 + 29</t>
  </si>
  <si>
    <t>Cols. 30 + 31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</si>
  <si>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 xml:space="preserve">Represents change in actual student enrollment patterns from 2008/09 to 2009/10 (past-year actual). </t>
    </r>
  </si>
  <si>
    <t>(Attach. D, Col. 30)</t>
  </si>
  <si>
    <r>
      <t xml:space="preserve">ATTACHMENT F - 2011/12 </t>
    </r>
    <r>
      <rPr>
        <b/>
        <sz val="13"/>
        <color theme="1"/>
        <rFont val="Times New Roman"/>
        <family val="1"/>
      </rPr>
      <t xml:space="preserve">Final Budget Allocations, State University Grant (SUG) Adjustment </t>
    </r>
  </si>
  <si>
    <r>
      <rPr>
        <vertAlign val="superscript"/>
        <sz val="10"/>
        <color theme="1"/>
        <rFont val="Times New Roman"/>
        <family val="1"/>
      </rPr>
      <t xml:space="preserve">3 </t>
    </r>
    <r>
      <rPr>
        <sz val="10"/>
        <color theme="1"/>
        <rFont val="Times New Roman"/>
        <family val="1"/>
      </rPr>
      <t xml:space="preserve">Mandatory costs provided for information only in 2011/12 final budget allocations.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</si>
  <si>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State retirement savings ($30,424,775) resulting from lower mid-year 2010/11 rates held in systemwide provisions.</t>
    </r>
  </si>
  <si>
    <r>
      <t>Final Budget</t>
    </r>
    <r>
      <rPr>
        <b/>
        <sz val="11"/>
        <color rgb="FFFF000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$650</t>
    </r>
    <r>
      <rPr>
        <b/>
        <sz val="11"/>
        <color theme="1"/>
        <rFont val="Times New Roman"/>
        <family val="1"/>
      </rPr>
      <t xml:space="preserve"> Million Reduction</t>
    </r>
  </si>
  <si>
    <t>(Attach. D / Col. 31)</t>
  </si>
  <si>
    <t>Tuition Fee Revenue Financial Aid Set-Aside</t>
  </si>
  <si>
    <t>Financial Aid / SUG Distribution Based on Need</t>
  </si>
  <si>
    <r>
      <t xml:space="preserve">Total </t>
    </r>
    <r>
      <rPr>
        <i/>
        <sz val="10"/>
        <rFont val="Times New Roman"/>
        <family val="1"/>
      </rPr>
      <t>$650</t>
    </r>
    <r>
      <rPr>
        <i/>
        <sz val="10"/>
        <color theme="1"/>
        <rFont val="Times New Roman"/>
        <family val="1"/>
      </rPr>
      <t xml:space="preserve"> Million Reduction</t>
    </r>
  </si>
  <si>
    <r>
      <t xml:space="preserve">Adjustments in SUG Set-Aside from Enrollment Increase, Full-Year Effect of 2010/11 Mid-Year and Summer Tuition Fee Rate Changes </t>
    </r>
    <r>
      <rPr>
        <vertAlign val="superscript"/>
        <sz val="9"/>
        <rFont val="Times New Roman"/>
        <family val="1"/>
      </rPr>
      <t>4</t>
    </r>
  </si>
  <si>
    <t>(Attach. C, Col. 10)</t>
  </si>
  <si>
    <t>Col. 10 + 19</t>
  </si>
  <si>
    <t>Coded Memo B 2011-02, July 14, 2011</t>
  </si>
  <si>
    <r>
      <t xml:space="preserve">Net 12% AY Fee Increase Offset </t>
    </r>
    <r>
      <rPr>
        <i/>
        <sz val="8"/>
        <color theme="1"/>
        <rFont val="Times New Roman"/>
        <family val="1"/>
      </rPr>
      <t xml:space="preserve">(BOT RFIN 07-11-07) </t>
    </r>
  </si>
  <si>
    <t>2011/12 Tuition Fee Revenue from 12% Rate Increase - BOT RFIN 07-11-07</t>
  </si>
  <si>
    <t>2011/12 Tuition Fee Revenue from 12% Rate Increase - BOT RFIN 07-11-07 (331,716 FTES)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</si>
  <si>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operating fee revenue interest assessment adjustment ($3,714,000) in Systemwide Provisions (SWP); transfers from SWPs to CSU Bakersfield to fund Lancaster ($85,000) and Maritime Academy for ship fuel ($1,500,000); SWP lease revenue bonds adjustments (-$9,961,000 in 2010/11 and $182,000 in 2011/12), dental annuitants funding adjustment ($977,000), and deferred maintenance debt retirement (-$2,309,000). </t>
    </r>
  </si>
  <si>
    <t xml:space="preserve">B 2011-02 Final Budget Allocations Total SUG Funding Available / 100% Distributed Based on Need </t>
  </si>
  <si>
    <t xml:space="preserve">B 2011-02 Final Budget Allocations SUG Increase                   </t>
  </si>
  <si>
    <t>2011/12 SUG Adjustment based on 331,716 Resident FTES with Revenue from Tuition Rate Increases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</si>
</sst>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mmm\-yyyy"/>
    <numFmt numFmtId="168" formatCode="0.0000%"/>
    <numFmt numFmtId="169" formatCode="0.00000%"/>
    <numFmt numFmtId="170" formatCode="0.000%"/>
    <numFmt numFmtId="171" formatCode="#,##0.0_);\(#,##0.0\)"/>
  </numFmts>
  <fonts count="68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vertAlign val="superscript"/>
      <sz val="1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7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0" fillId="0" borderId="0"/>
    <xf numFmtId="0" fontId="4" fillId="0" borderId="0"/>
    <xf numFmtId="0" fontId="21" fillId="0" borderId="0"/>
    <xf numFmtId="0" fontId="22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89">
    <xf numFmtId="0" fontId="0" fillId="0" borderId="0" xfId="0"/>
    <xf numFmtId="37" fontId="0" fillId="0" borderId="0" xfId="0" applyNumberFormat="1" applyFill="1"/>
    <xf numFmtId="37" fontId="7" fillId="0" borderId="0" xfId="0" applyNumberFormat="1" applyFont="1" applyFill="1"/>
    <xf numFmtId="37" fontId="5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5" fillId="0" borderId="0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Alignment="1">
      <alignment horizontal="center" vertical="center" wrapText="1"/>
    </xf>
    <xf numFmtId="5" fontId="0" fillId="0" borderId="0" xfId="0" applyNumberFormat="1" applyFill="1"/>
    <xf numFmtId="37" fontId="0" fillId="0" borderId="0" xfId="0" applyNumberFormat="1" applyFill="1" applyBorder="1"/>
    <xf numFmtId="5" fontId="0" fillId="0" borderId="0" xfId="0" applyNumberFormat="1" applyFill="1" applyBorder="1"/>
    <xf numFmtId="37" fontId="10" fillId="0" borderId="0" xfId="0" applyNumberFormat="1" applyFont="1" applyFill="1"/>
    <xf numFmtId="5" fontId="0" fillId="0" borderId="2" xfId="0" applyNumberFormat="1" applyFill="1" applyBorder="1"/>
    <xf numFmtId="5" fontId="0" fillId="0" borderId="3" xfId="0" applyNumberFormat="1" applyFill="1" applyBorder="1"/>
    <xf numFmtId="37" fontId="0" fillId="0" borderId="1" xfId="0" applyNumberForma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6" fillId="0" borderId="0" xfId="0" applyNumberFormat="1" applyFont="1" applyFill="1" applyBorder="1" applyAlignment="1">
      <alignment horizontal="center" vertical="center" wrapText="1"/>
    </xf>
    <xf numFmtId="37" fontId="13" fillId="0" borderId="0" xfId="0" applyNumberFormat="1" applyFont="1" applyFill="1" applyAlignment="1">
      <alignment horizontal="center" vertical="center" wrapText="1"/>
    </xf>
    <xf numFmtId="37" fontId="9" fillId="0" borderId="0" xfId="0" applyNumberFormat="1" applyFont="1" applyFill="1" applyAlignment="1">
      <alignment horizontal="center" vertical="center" wrapText="1"/>
    </xf>
    <xf numFmtId="37" fontId="9" fillId="0" borderId="0" xfId="0" applyNumberFormat="1" applyFont="1" applyFill="1" applyBorder="1" applyAlignment="1">
      <alignment horizontal="center" vertical="center" wrapText="1"/>
    </xf>
    <xf numFmtId="5" fontId="14" fillId="0" borderId="3" xfId="0" applyNumberFormat="1" applyFont="1" applyFill="1" applyBorder="1"/>
    <xf numFmtId="37" fontId="8" fillId="0" borderId="0" xfId="0" applyNumberFormat="1" applyFont="1" applyFill="1"/>
    <xf numFmtId="37" fontId="8" fillId="0" borderId="0" xfId="0" applyNumberFormat="1" applyFont="1" applyFill="1" applyAlignment="1">
      <alignment horizontal="center"/>
    </xf>
    <xf numFmtId="37" fontId="10" fillId="0" borderId="0" xfId="0" applyNumberFormat="1" applyFont="1" applyFill="1" applyBorder="1"/>
    <xf numFmtId="5" fontId="10" fillId="0" borderId="0" xfId="0" applyNumberFormat="1" applyFont="1" applyFill="1" applyBorder="1"/>
    <xf numFmtId="37" fontId="0" fillId="0" borderId="0" xfId="0" applyNumberFormat="1" applyFill="1" applyAlignment="1">
      <alignment vertical="top"/>
    </xf>
    <xf numFmtId="37" fontId="8" fillId="0" borderId="0" xfId="0" applyNumberFormat="1" applyFont="1" applyFill="1" applyBorder="1" applyAlignment="1">
      <alignment horizontal="center"/>
    </xf>
    <xf numFmtId="37" fontId="16" fillId="0" borderId="0" xfId="0" applyNumberFormat="1" applyFont="1" applyFill="1"/>
    <xf numFmtId="37" fontId="11" fillId="0" borderId="0" xfId="0" applyNumberFormat="1" applyFont="1" applyFill="1" applyBorder="1" applyAlignment="1">
      <alignment horizontal="left" wrapText="1"/>
    </xf>
    <xf numFmtId="37" fontId="17" fillId="0" borderId="4" xfId="0" applyNumberFormat="1" applyFon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 wrapText="1"/>
    </xf>
    <xf numFmtId="37" fontId="12" fillId="0" borderId="5" xfId="0" applyNumberFormat="1" applyFont="1" applyFill="1" applyBorder="1" applyAlignment="1">
      <alignment horizontal="center" wrapText="1"/>
    </xf>
    <xf numFmtId="37" fontId="17" fillId="0" borderId="0" xfId="0" applyNumberFormat="1" applyFont="1" applyFill="1" applyBorder="1" applyAlignment="1">
      <alignment horizontal="center" wrapText="1"/>
    </xf>
    <xf numFmtId="37" fontId="10" fillId="0" borderId="1" xfId="0" applyNumberFormat="1" applyFont="1" applyFill="1" applyBorder="1" applyAlignment="1">
      <alignment horizontal="center" wrapText="1"/>
    </xf>
    <xf numFmtId="5" fontId="16" fillId="0" borderId="2" xfId="0" applyNumberFormat="1" applyFont="1" applyFill="1" applyBorder="1"/>
    <xf numFmtId="5" fontId="16" fillId="0" borderId="3" xfId="0" applyNumberFormat="1" applyFont="1" applyFill="1" applyBorder="1"/>
    <xf numFmtId="37" fontId="5" fillId="0" borderId="1" xfId="0" applyNumberFormat="1" applyFont="1" applyFill="1" applyBorder="1" applyAlignment="1">
      <alignment vertical="center"/>
    </xf>
    <xf numFmtId="37" fontId="10" fillId="0" borderId="0" xfId="0" applyNumberFormat="1" applyFont="1" applyFill="1" applyAlignment="1">
      <alignment vertical="center"/>
    </xf>
    <xf numFmtId="37" fontId="16" fillId="0" borderId="0" xfId="0" applyNumberFormat="1" applyFont="1" applyFill="1" applyAlignment="1"/>
    <xf numFmtId="5" fontId="16" fillId="0" borderId="2" xfId="0" applyNumberFormat="1" applyFont="1" applyFill="1" applyBorder="1" applyAlignment="1"/>
    <xf numFmtId="5" fontId="16" fillId="0" borderId="0" xfId="0" applyNumberFormat="1" applyFont="1" applyFill="1" applyBorder="1" applyAlignment="1"/>
    <xf numFmtId="37" fontId="16" fillId="0" borderId="0" xfId="0" applyNumberFormat="1" applyFont="1" applyFill="1" applyBorder="1" applyAlignment="1"/>
    <xf numFmtId="5" fontId="16" fillId="0" borderId="0" xfId="0" applyNumberFormat="1" applyFont="1" applyFill="1" applyAlignment="1"/>
    <xf numFmtId="5" fontId="16" fillId="0" borderId="3" xfId="0" applyNumberFormat="1" applyFont="1" applyFill="1" applyBorder="1" applyAlignment="1"/>
    <xf numFmtId="37" fontId="1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5" fontId="16" fillId="0" borderId="0" xfId="0" applyNumberFormat="1" applyFont="1" applyFill="1"/>
    <xf numFmtId="5" fontId="16" fillId="0" borderId="4" xfId="0" applyNumberFormat="1" applyFont="1" applyFill="1" applyBorder="1" applyAlignment="1"/>
    <xf numFmtId="37" fontId="16" fillId="0" borderId="4" xfId="0" applyNumberFormat="1" applyFont="1" applyFill="1" applyBorder="1" applyAlignment="1"/>
    <xf numFmtId="5" fontId="16" fillId="0" borderId="6" xfId="0" applyNumberFormat="1" applyFont="1" applyFill="1" applyBorder="1" applyAlignment="1"/>
    <xf numFmtId="5" fontId="16" fillId="0" borderId="7" xfId="0" applyNumberFormat="1" applyFont="1" applyFill="1" applyBorder="1" applyAlignment="1"/>
    <xf numFmtId="37" fontId="18" fillId="0" borderId="0" xfId="0" applyNumberFormat="1" applyFont="1" applyFill="1"/>
    <xf numFmtId="37" fontId="13" fillId="0" borderId="0" xfId="0" quotePrefix="1" applyNumberFormat="1" applyFont="1" applyFill="1" applyBorder="1" applyAlignment="1">
      <alignment horizontal="center" vertical="center" wrapText="1"/>
    </xf>
    <xf numFmtId="37" fontId="19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5" fillId="0" borderId="0" xfId="0" applyNumberFormat="1" applyFont="1" applyFill="1"/>
    <xf numFmtId="37" fontId="15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center"/>
    </xf>
    <xf numFmtId="37" fontId="30" fillId="0" borderId="0" xfId="0" applyNumberFormat="1" applyFont="1" applyFill="1" applyAlignment="1"/>
    <xf numFmtId="5" fontId="16" fillId="0" borderId="0" xfId="0" applyNumberFormat="1" applyFont="1" applyFill="1" applyBorder="1"/>
    <xf numFmtId="37" fontId="16" fillId="0" borderId="0" xfId="0" applyNumberFormat="1" applyFont="1" applyFill="1" applyBorder="1"/>
    <xf numFmtId="164" fontId="0" fillId="0" borderId="0" xfId="23" applyNumberFormat="1" applyFont="1" applyFill="1"/>
    <xf numFmtId="0" fontId="18" fillId="0" borderId="0" xfId="17" applyFont="1"/>
    <xf numFmtId="0" fontId="8" fillId="0" borderId="0" xfId="17" applyFont="1"/>
    <xf numFmtId="0" fontId="8" fillId="0" borderId="0" xfId="17" applyFont="1" applyBorder="1"/>
    <xf numFmtId="0" fontId="24" fillId="0" borderId="0" xfId="17" applyFont="1"/>
    <xf numFmtId="37" fontId="7" fillId="0" borderId="0" xfId="17" applyNumberFormat="1" applyFont="1" applyFill="1" applyBorder="1" applyAlignment="1">
      <alignment horizontal="center" vertical="center"/>
    </xf>
    <xf numFmtId="37" fontId="32" fillId="0" borderId="0" xfId="17" applyNumberFormat="1" applyFont="1" applyFill="1" applyBorder="1" applyAlignment="1">
      <alignment horizontal="center" vertical="center"/>
    </xf>
    <xf numFmtId="37" fontId="7" fillId="0" borderId="0" xfId="17" applyNumberFormat="1" applyFont="1" applyFill="1" applyBorder="1" applyAlignment="1">
      <alignment horizontal="center" wrapText="1"/>
    </xf>
    <xf numFmtId="0" fontId="7" fillId="0" borderId="0" xfId="17" applyFont="1" applyBorder="1" applyAlignment="1">
      <alignment horizontal="center" wrapText="1"/>
    </xf>
    <xf numFmtId="37" fontId="24" fillId="0" borderId="0" xfId="17" applyNumberFormat="1" applyFont="1" applyFill="1" applyBorder="1" applyAlignment="1">
      <alignment horizontal="center" vertical="center" wrapText="1"/>
    </xf>
    <xf numFmtId="5" fontId="8" fillId="0" borderId="0" xfId="17" applyNumberFormat="1" applyFont="1" applyFill="1" applyBorder="1"/>
    <xf numFmtId="37" fontId="8" fillId="0" borderId="0" xfId="17" applyNumberFormat="1" applyFont="1" applyFill="1" applyBorder="1"/>
    <xf numFmtId="166" fontId="8" fillId="0" borderId="0" xfId="4" applyNumberFormat="1" applyFont="1" applyBorder="1"/>
    <xf numFmtId="166" fontId="8" fillId="0" borderId="8" xfId="4" applyNumberFormat="1" applyFont="1" applyBorder="1"/>
    <xf numFmtId="5" fontId="7" fillId="0" borderId="0" xfId="17" applyNumberFormat="1" applyFont="1" applyFill="1" applyBorder="1"/>
    <xf numFmtId="0" fontId="7" fillId="0" borderId="0" xfId="17" applyFont="1" applyBorder="1"/>
    <xf numFmtId="37" fontId="33" fillId="0" borderId="0" xfId="0" applyNumberFormat="1" applyFont="1" applyFill="1"/>
    <xf numFmtId="37" fontId="23" fillId="0" borderId="0" xfId="0" quotePrefix="1" applyNumberFormat="1" applyFont="1" applyFill="1" applyAlignment="1">
      <alignment horizontal="right"/>
    </xf>
    <xf numFmtId="0" fontId="34" fillId="0" borderId="0" xfId="17" applyFont="1"/>
    <xf numFmtId="37" fontId="35" fillId="0" borderId="0" xfId="0" applyNumberFormat="1" applyFont="1" applyFill="1"/>
    <xf numFmtId="37" fontId="31" fillId="0" borderId="0" xfId="0" applyNumberFormat="1" applyFont="1" applyFill="1" applyAlignment="1">
      <alignment horizontal="left" vertical="top" wrapText="1"/>
    </xf>
    <xf numFmtId="37" fontId="10" fillId="0" borderId="1" xfId="0" applyNumberFormat="1" applyFont="1" applyFill="1" applyBorder="1" applyAlignment="1">
      <alignment vertical="center"/>
    </xf>
    <xf numFmtId="167" fontId="7" fillId="0" borderId="0" xfId="17" applyNumberFormat="1" applyFont="1" applyBorder="1" applyAlignment="1">
      <alignment horizontal="right" wrapText="1"/>
    </xf>
    <xf numFmtId="37" fontId="7" fillId="0" borderId="0" xfId="14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wrapText="1"/>
    </xf>
    <xf numFmtId="0" fontId="33" fillId="0" borderId="0" xfId="14" applyFont="1" applyFill="1" applyBorder="1" applyAlignment="1"/>
    <xf numFmtId="0" fontId="29" fillId="0" borderId="0" xfId="14" applyFont="1" applyFill="1" applyBorder="1"/>
    <xf numFmtId="0" fontId="29" fillId="0" borderId="0" xfId="14" applyFont="1" applyFill="1" applyBorder="1" applyAlignment="1">
      <alignment horizontal="center"/>
    </xf>
    <xf numFmtId="37" fontId="38" fillId="0" borderId="0" xfId="14" applyNumberFormat="1" applyFont="1" applyFill="1" applyBorder="1" applyAlignment="1">
      <alignment horizontal="center"/>
    </xf>
    <xf numFmtId="0" fontId="29" fillId="0" borderId="10" xfId="14" applyFont="1" applyFill="1" applyBorder="1"/>
    <xf numFmtId="0" fontId="29" fillId="0" borderId="11" xfId="14" applyFont="1" applyFill="1" applyBorder="1"/>
    <xf numFmtId="0" fontId="29" fillId="0" borderId="11" xfId="14" quotePrefix="1" applyFont="1" applyFill="1" applyBorder="1" applyAlignment="1">
      <alignment horizontal="centerContinuous"/>
    </xf>
    <xf numFmtId="0" fontId="29" fillId="0" borderId="12" xfId="14" applyFont="1" applyFill="1" applyBorder="1" applyAlignment="1">
      <alignment horizontal="center" wrapText="1"/>
    </xf>
    <xf numFmtId="0" fontId="31" fillId="0" borderId="1" xfId="14" applyFont="1" applyFill="1" applyBorder="1" applyAlignment="1"/>
    <xf numFmtId="0" fontId="31" fillId="0" borderId="1" xfId="14" quotePrefix="1" applyFont="1" applyFill="1" applyBorder="1" applyAlignment="1">
      <alignment horizontal="centerContinuous" wrapText="1"/>
    </xf>
    <xf numFmtId="0" fontId="31" fillId="0" borderId="13" xfId="14" quotePrefix="1" applyFont="1" applyFill="1" applyBorder="1" applyAlignment="1">
      <alignment horizontal="centerContinuous" wrapText="1"/>
    </xf>
    <xf numFmtId="0" fontId="29" fillId="0" borderId="0" xfId="14" applyFont="1" applyFill="1" applyBorder="1" applyAlignment="1"/>
    <xf numFmtId="0" fontId="31" fillId="0" borderId="0" xfId="14" applyFont="1" applyFill="1" applyBorder="1" applyAlignment="1"/>
    <xf numFmtId="0" fontId="31" fillId="0" borderId="0" xfId="14" applyFont="1" applyFill="1" applyBorder="1"/>
    <xf numFmtId="0" fontId="31" fillId="0" borderId="0" xfId="14" applyFont="1" applyFill="1" applyBorder="1" applyAlignment="1">
      <alignment horizontal="center"/>
    </xf>
    <xf numFmtId="0" fontId="31" fillId="0" borderId="9" xfId="14" applyFont="1" applyFill="1" applyBorder="1" applyAlignment="1">
      <alignment horizontal="center"/>
    </xf>
    <xf numFmtId="0" fontId="31" fillId="0" borderId="16" xfId="14" applyFont="1" applyFill="1" applyBorder="1" applyAlignment="1">
      <alignment horizontal="center"/>
    </xf>
    <xf numFmtId="0" fontId="29" fillId="0" borderId="16" xfId="14" applyFont="1" applyFill="1" applyBorder="1"/>
    <xf numFmtId="0" fontId="31" fillId="0" borderId="9" xfId="14" applyFont="1" applyFill="1" applyBorder="1"/>
    <xf numFmtId="0" fontId="31" fillId="0" borderId="9" xfId="14" quotePrefix="1" applyFont="1" applyFill="1" applyBorder="1" applyAlignment="1">
      <alignment horizontal="center"/>
    </xf>
    <xf numFmtId="165" fontId="31" fillId="0" borderId="9" xfId="14" applyNumberFormat="1" applyFont="1" applyFill="1" applyBorder="1"/>
    <xf numFmtId="168" fontId="31" fillId="0" borderId="0" xfId="14" applyNumberFormat="1" applyFont="1" applyFill="1" applyBorder="1" applyAlignment="1">
      <alignment horizontal="center"/>
    </xf>
    <xf numFmtId="168" fontId="31" fillId="0" borderId="16" xfId="14" applyNumberFormat="1" applyFont="1" applyFill="1" applyBorder="1" applyAlignment="1">
      <alignment horizontal="center"/>
    </xf>
    <xf numFmtId="169" fontId="31" fillId="0" borderId="16" xfId="14" applyNumberFormat="1" applyFont="1" applyFill="1" applyBorder="1" applyAlignment="1">
      <alignment horizontal="center"/>
    </xf>
    <xf numFmtId="5" fontId="31" fillId="0" borderId="9" xfId="14" applyNumberFormat="1" applyFont="1" applyFill="1" applyBorder="1"/>
    <xf numFmtId="169" fontId="31" fillId="0" borderId="0" xfId="14" applyNumberFormat="1" applyFont="1" applyFill="1" applyBorder="1" applyAlignment="1">
      <alignment horizontal="center"/>
    </xf>
    <xf numFmtId="169" fontId="31" fillId="0" borderId="9" xfId="14" applyNumberFormat="1" applyFont="1" applyFill="1" applyBorder="1" applyAlignment="1">
      <alignment horizontal="center"/>
    </xf>
    <xf numFmtId="5" fontId="38" fillId="0" borderId="0" xfId="14" applyNumberFormat="1" applyFont="1" applyFill="1" applyBorder="1"/>
    <xf numFmtId="37" fontId="31" fillId="0" borderId="0" xfId="14" applyNumberFormat="1" applyFont="1" applyFill="1" applyBorder="1"/>
    <xf numFmtId="5" fontId="31" fillId="0" borderId="0" xfId="14" applyNumberFormat="1" applyFont="1" applyFill="1" applyBorder="1"/>
    <xf numFmtId="37" fontId="38" fillId="0" borderId="0" xfId="14" applyNumberFormat="1" applyFont="1" applyFill="1" applyBorder="1"/>
    <xf numFmtId="3" fontId="31" fillId="0" borderId="0" xfId="14" applyNumberFormat="1" applyFont="1" applyFill="1" applyBorder="1"/>
    <xf numFmtId="170" fontId="31" fillId="0" borderId="0" xfId="14" applyNumberFormat="1" applyFont="1" applyFill="1" applyBorder="1"/>
    <xf numFmtId="3" fontId="31" fillId="0" borderId="16" xfId="14" applyNumberFormat="1" applyFont="1" applyFill="1" applyBorder="1" applyAlignment="1">
      <alignment horizontal="center"/>
    </xf>
    <xf numFmtId="3" fontId="31" fillId="0" borderId="9" xfId="14" applyNumberFormat="1" applyFont="1" applyFill="1" applyBorder="1"/>
    <xf numFmtId="3" fontId="31" fillId="0" borderId="9" xfId="14" applyNumberFormat="1" applyFont="1" applyFill="1" applyBorder="1" applyAlignment="1">
      <alignment horizontal="center"/>
    </xf>
    <xf numFmtId="0" fontId="31" fillId="0" borderId="17" xfId="14" applyFont="1" applyFill="1" applyBorder="1" applyAlignment="1">
      <alignment horizontal="center"/>
    </xf>
    <xf numFmtId="0" fontId="31" fillId="0" borderId="8" xfId="14" applyFont="1" applyFill="1" applyBorder="1"/>
    <xf numFmtId="10" fontId="31" fillId="0" borderId="8" xfId="14" applyNumberFormat="1" applyFont="1" applyFill="1" applyBorder="1" applyAlignment="1">
      <alignment horizontal="center"/>
    </xf>
    <xf numFmtId="165" fontId="31" fillId="0" borderId="17" xfId="14" applyNumberFormat="1" applyFont="1" applyFill="1" applyBorder="1"/>
    <xf numFmtId="10" fontId="31" fillId="0" borderId="18" xfId="14" applyNumberFormat="1" applyFont="1" applyFill="1" applyBorder="1" applyAlignment="1">
      <alignment horizontal="center"/>
    </xf>
    <xf numFmtId="10" fontId="31" fillId="0" borderId="17" xfId="14" applyNumberFormat="1" applyFont="1" applyFill="1" applyBorder="1" applyAlignment="1">
      <alignment horizontal="center"/>
    </xf>
    <xf numFmtId="5" fontId="38" fillId="0" borderId="8" xfId="10" applyNumberFormat="1" applyFont="1" applyFill="1" applyBorder="1"/>
    <xf numFmtId="0" fontId="29" fillId="0" borderId="18" xfId="14" applyFont="1" applyFill="1" applyBorder="1"/>
    <xf numFmtId="5" fontId="31" fillId="0" borderId="0" xfId="10" applyNumberFormat="1" applyFont="1" applyFill="1" applyBorder="1"/>
    <xf numFmtId="5" fontId="29" fillId="0" borderId="0" xfId="14" applyNumberFormat="1" applyFont="1" applyFill="1" applyBorder="1"/>
    <xf numFmtId="3" fontId="29" fillId="0" borderId="0" xfId="14" applyNumberFormat="1" applyFont="1" applyFill="1" applyBorder="1"/>
    <xf numFmtId="3" fontId="29" fillId="0" borderId="0" xfId="14" applyNumberFormat="1" applyFont="1" applyFill="1" applyBorder="1" applyAlignment="1">
      <alignment horizontal="center"/>
    </xf>
    <xf numFmtId="0" fontId="40" fillId="0" borderId="0" xfId="14" applyFont="1" applyFill="1" applyBorder="1" applyAlignment="1">
      <alignment vertical="top"/>
    </xf>
    <xf numFmtId="165" fontId="29" fillId="0" borderId="0" xfId="14" applyNumberFormat="1" applyFont="1" applyFill="1" applyBorder="1"/>
    <xf numFmtId="37" fontId="5" fillId="0" borderId="11" xfId="0" applyNumberFormat="1" applyFont="1" applyFill="1" applyBorder="1" applyAlignment="1"/>
    <xf numFmtId="37" fontId="4" fillId="0" borderId="0" xfId="0" applyNumberFormat="1" applyFont="1" applyFill="1" applyBorder="1" applyAlignment="1">
      <alignment horizontal="center" wrapText="1"/>
    </xf>
    <xf numFmtId="0" fontId="31" fillId="0" borderId="0" xfId="14" applyFont="1" applyFill="1" applyBorder="1" applyAlignment="1">
      <alignment horizontal="center" wrapText="1"/>
    </xf>
    <xf numFmtId="37" fontId="7" fillId="0" borderId="5" xfId="17" applyNumberFormat="1" applyFont="1" applyFill="1" applyBorder="1" applyAlignment="1">
      <alignment horizontal="center" wrapText="1"/>
    </xf>
    <xf numFmtId="0" fontId="8" fillId="0" borderId="4" xfId="17" applyFont="1" applyBorder="1"/>
    <xf numFmtId="5" fontId="7" fillId="0" borderId="36" xfId="17" applyNumberFormat="1" applyFont="1" applyFill="1" applyBorder="1"/>
    <xf numFmtId="37" fontId="7" fillId="0" borderId="0" xfId="26" applyNumberFormat="1" applyFont="1" applyFill="1"/>
    <xf numFmtId="37" fontId="4" fillId="0" borderId="0" xfId="26" applyNumberFormat="1" applyFont="1" applyFill="1"/>
    <xf numFmtId="37" fontId="5" fillId="0" borderId="0" xfId="26" applyNumberFormat="1" applyFont="1" applyFill="1"/>
    <xf numFmtId="37" fontId="4" fillId="0" borderId="0" xfId="26" applyNumberFormat="1" applyFill="1"/>
    <xf numFmtId="37" fontId="7" fillId="0" borderId="0" xfId="26" applyNumberFormat="1" applyFont="1" applyFill="1" applyBorder="1"/>
    <xf numFmtId="37" fontId="4" fillId="0" borderId="0" xfId="26" applyNumberFormat="1" applyFont="1" applyFill="1" applyBorder="1"/>
    <xf numFmtId="37" fontId="5" fillId="0" borderId="0" xfId="26" applyNumberFormat="1" applyFont="1" applyFill="1" applyBorder="1"/>
    <xf numFmtId="37" fontId="16" fillId="0" borderId="0" xfId="26" applyNumberFormat="1" applyFont="1" applyFill="1" applyBorder="1"/>
    <xf numFmtId="37" fontId="15" fillId="0" borderId="0" xfId="26" applyNumberFormat="1" applyFont="1" applyFill="1" applyBorder="1"/>
    <xf numFmtId="37" fontId="4" fillId="0" borderId="0" xfId="26" applyNumberFormat="1" applyFill="1" applyBorder="1"/>
    <xf numFmtId="37" fontId="15" fillId="0" borderId="0" xfId="26" applyNumberFormat="1" applyFont="1" applyFill="1" applyBorder="1" applyAlignment="1">
      <alignment horizontal="center" vertical="center" wrapText="1"/>
    </xf>
    <xf numFmtId="37" fontId="15" fillId="0" borderId="0" xfId="26" applyNumberFormat="1" applyFont="1" applyFill="1" applyBorder="1" applyAlignment="1">
      <alignment horizontal="center" vertical="center"/>
    </xf>
    <xf numFmtId="37" fontId="15" fillId="0" borderId="0" xfId="26" applyNumberFormat="1" applyFont="1" applyFill="1" applyBorder="1" applyAlignment="1">
      <alignment vertical="center"/>
    </xf>
    <xf numFmtId="37" fontId="4" fillId="0" borderId="0" xfId="26" applyNumberFormat="1" applyFill="1" applyBorder="1" applyAlignment="1">
      <alignment vertical="center"/>
    </xf>
    <xf numFmtId="37" fontId="4" fillId="0" borderId="0" xfId="26" applyNumberFormat="1" applyFill="1" applyAlignment="1">
      <alignment vertical="center"/>
    </xf>
    <xf numFmtId="37" fontId="15" fillId="0" borderId="0" xfId="26" applyNumberFormat="1" applyFont="1" applyFill="1" applyBorder="1" applyAlignment="1">
      <alignment horizontal="center" wrapText="1"/>
    </xf>
    <xf numFmtId="37" fontId="4" fillId="0" borderId="9" xfId="26" applyNumberFormat="1" applyFill="1" applyBorder="1" applyAlignment="1">
      <alignment horizontal="center" wrapText="1"/>
    </xf>
    <xf numFmtId="37" fontId="4" fillId="0" borderId="0" xfId="26" applyNumberFormat="1" applyFill="1" applyAlignment="1">
      <alignment horizontal="center" wrapText="1"/>
    </xf>
    <xf numFmtId="37" fontId="43" fillId="0" borderId="4" xfId="26" applyNumberFormat="1" applyFont="1" applyFill="1" applyBorder="1"/>
    <xf numFmtId="37" fontId="43" fillId="0" borderId="0" xfId="26" applyNumberFormat="1" applyFont="1" applyFill="1" applyBorder="1"/>
    <xf numFmtId="37" fontId="13" fillId="0" borderId="9" xfId="26" applyNumberFormat="1" applyFont="1" applyFill="1" applyBorder="1"/>
    <xf numFmtId="37" fontId="13" fillId="0" borderId="0" xfId="26" applyNumberFormat="1" applyFont="1" applyFill="1"/>
    <xf numFmtId="37" fontId="43" fillId="0" borderId="9" xfId="26" applyNumberFormat="1" applyFont="1" applyFill="1" applyBorder="1"/>
    <xf numFmtId="37" fontId="16" fillId="0" borderId="4" xfId="26" applyNumberFormat="1" applyFont="1" applyFill="1" applyBorder="1"/>
    <xf numFmtId="37" fontId="16" fillId="0" borderId="9" xfId="26" applyNumberFormat="1" applyFont="1" applyFill="1" applyBorder="1"/>
    <xf numFmtId="37" fontId="4" fillId="0" borderId="9" xfId="26" applyNumberFormat="1" applyFill="1" applyBorder="1"/>
    <xf numFmtId="37" fontId="16" fillId="0" borderId="41" xfId="26" applyNumberFormat="1" applyFont="1" applyFill="1" applyBorder="1"/>
    <xf numFmtId="37" fontId="16" fillId="0" borderId="42" xfId="26" applyNumberFormat="1" applyFont="1" applyFill="1" applyBorder="1"/>
    <xf numFmtId="37" fontId="5" fillId="0" borderId="9" xfId="26" applyNumberFormat="1" applyFont="1" applyFill="1" applyBorder="1"/>
    <xf numFmtId="37" fontId="16" fillId="0" borderId="7" xfId="26" applyNumberFormat="1" applyFont="1" applyFill="1" applyBorder="1"/>
    <xf numFmtId="37" fontId="16" fillId="0" borderId="3" xfId="26" applyNumberFormat="1" applyFont="1" applyFill="1" applyBorder="1"/>
    <xf numFmtId="37" fontId="16" fillId="0" borderId="14" xfId="26" applyNumberFormat="1" applyFont="1" applyFill="1" applyBorder="1"/>
    <xf numFmtId="37" fontId="6" fillId="0" borderId="0" xfId="26" applyNumberFormat="1" applyFont="1" applyFill="1"/>
    <xf numFmtId="37" fontId="16" fillId="0" borderId="0" xfId="26" applyNumberFormat="1" applyFont="1" applyFill="1" applyBorder="1" applyAlignment="1">
      <alignment vertical="center"/>
    </xf>
    <xf numFmtId="37" fontId="16" fillId="0" borderId="0" xfId="26" applyNumberFormat="1" applyFont="1" applyFill="1" applyBorder="1" applyAlignment="1">
      <alignment horizontal="center" wrapText="1"/>
    </xf>
    <xf numFmtId="0" fontId="45" fillId="0" borderId="0" xfId="17" applyFont="1" applyFill="1"/>
    <xf numFmtId="0" fontId="46" fillId="0" borderId="0" xfId="14" applyFont="1" applyFill="1" applyBorder="1"/>
    <xf numFmtId="37" fontId="5" fillId="0" borderId="11" xfId="0" applyNumberFormat="1" applyFont="1" applyFill="1" applyBorder="1" applyAlignment="1">
      <alignment horizontal="center"/>
    </xf>
    <xf numFmtId="37" fontId="33" fillId="0" borderId="0" xfId="14" applyNumberFormat="1" applyFont="1" applyFill="1" applyAlignment="1">
      <alignment horizontal="left"/>
    </xf>
    <xf numFmtId="37" fontId="36" fillId="0" borderId="0" xfId="14" applyNumberFormat="1" applyFont="1" applyFill="1" applyAlignment="1">
      <alignment horizontal="left"/>
    </xf>
    <xf numFmtId="37" fontId="16" fillId="0" borderId="0" xfId="14" applyNumberFormat="1" applyFont="1" applyFill="1" applyAlignment="1"/>
    <xf numFmtId="37" fontId="50" fillId="0" borderId="0" xfId="0" applyNumberFormat="1" applyFont="1" applyFill="1" applyAlignment="1">
      <alignment horizontal="center" vertical="center" wrapText="1"/>
    </xf>
    <xf numFmtId="37" fontId="31" fillId="0" borderId="0" xfId="18" applyNumberFormat="1" applyFont="1" applyFill="1"/>
    <xf numFmtId="5" fontId="31" fillId="0" borderId="2" xfId="7" applyNumberFormat="1" applyFont="1" applyFill="1" applyBorder="1"/>
    <xf numFmtId="5" fontId="31" fillId="0" borderId="3" xfId="7" applyNumberFormat="1" applyFont="1" applyFill="1" applyBorder="1"/>
    <xf numFmtId="37" fontId="16" fillId="0" borderId="8" xfId="26" applyNumberFormat="1" applyFont="1" applyFill="1" applyBorder="1"/>
    <xf numFmtId="37" fontId="16" fillId="0" borderId="36" xfId="26" applyNumberFormat="1" applyFont="1" applyFill="1" applyBorder="1"/>
    <xf numFmtId="37" fontId="16" fillId="0" borderId="1" xfId="26" applyNumberFormat="1" applyFont="1" applyFill="1" applyBorder="1"/>
    <xf numFmtId="37" fontId="16" fillId="0" borderId="17" xfId="26" applyNumberFormat="1" applyFont="1" applyFill="1" applyBorder="1"/>
    <xf numFmtId="37" fontId="38" fillId="0" borderId="0" xfId="18" applyNumberFormat="1" applyFont="1" applyFill="1"/>
    <xf numFmtId="37" fontId="38" fillId="0" borderId="0" xfId="18" applyNumberFormat="1" applyFont="1" applyFill="1" applyAlignment="1">
      <alignment horizontal="center"/>
    </xf>
    <xf numFmtId="37" fontId="47" fillId="0" borderId="0" xfId="7" quotePrefix="1" applyNumberFormat="1" applyFont="1" applyFill="1" applyBorder="1" applyAlignment="1">
      <alignment horizontal="center"/>
    </xf>
    <xf numFmtId="37" fontId="31" fillId="0" borderId="0" xfId="7" applyNumberFormat="1" applyFont="1" applyFill="1" applyBorder="1"/>
    <xf numFmtId="5" fontId="31" fillId="0" borderId="0" xfId="7" applyNumberFormat="1" applyFont="1" applyFill="1" applyBorder="1"/>
    <xf numFmtId="37" fontId="31" fillId="0" borderId="2" xfId="18" applyNumberFormat="1" applyFont="1" applyFill="1" applyBorder="1"/>
    <xf numFmtId="37" fontId="31" fillId="0" borderId="3" xfId="18" applyNumberFormat="1" applyFont="1" applyFill="1" applyBorder="1"/>
    <xf numFmtId="37" fontId="16" fillId="0" borderId="0" xfId="14" applyNumberFormat="1" applyFont="1" applyFill="1" applyBorder="1" applyAlignment="1"/>
    <xf numFmtId="37" fontId="31" fillId="0" borderId="0" xfId="18" applyNumberFormat="1" applyFont="1" applyFill="1" applyBorder="1"/>
    <xf numFmtId="37" fontId="36" fillId="0" borderId="0" xfId="18" applyNumberFormat="1" applyFont="1" applyFill="1"/>
    <xf numFmtId="37" fontId="36" fillId="0" borderId="0" xfId="18" applyNumberFormat="1" applyFont="1" applyFill="1" applyBorder="1"/>
    <xf numFmtId="37" fontId="36" fillId="0" borderId="0" xfId="7" applyNumberFormat="1" applyFont="1" applyFill="1"/>
    <xf numFmtId="37" fontId="41" fillId="0" borderId="0" xfId="18" applyNumberFormat="1" applyFont="1" applyFill="1" applyBorder="1"/>
    <xf numFmtId="0" fontId="31" fillId="0" borderId="12" xfId="14" applyFont="1" applyFill="1" applyBorder="1" applyAlignment="1">
      <alignment horizontal="centerContinuous" wrapText="1"/>
    </xf>
    <xf numFmtId="0" fontId="38" fillId="0" borderId="9" xfId="14" quotePrefix="1" applyFont="1" applyFill="1" applyBorder="1" applyAlignment="1">
      <alignment wrapText="1"/>
    </xf>
    <xf numFmtId="37" fontId="38" fillId="0" borderId="0" xfId="18" applyNumberFormat="1" applyFont="1" applyFill="1" applyBorder="1" applyAlignment="1">
      <alignment horizontal="center"/>
    </xf>
    <xf numFmtId="37" fontId="31" fillId="0" borderId="16" xfId="7" applyNumberFormat="1" applyFont="1" applyFill="1" applyBorder="1" applyAlignment="1">
      <alignment horizontal="center" wrapText="1"/>
    </xf>
    <xf numFmtId="5" fontId="8" fillId="0" borderId="4" xfId="14" applyNumberFormat="1" applyFont="1" applyFill="1" applyBorder="1"/>
    <xf numFmtId="166" fontId="8" fillId="0" borderId="4" xfId="28" applyNumberFormat="1" applyFont="1" applyBorder="1"/>
    <xf numFmtId="166" fontId="8" fillId="0" borderId="36" xfId="28" applyNumberFormat="1" applyFont="1" applyBorder="1"/>
    <xf numFmtId="43" fontId="8" fillId="0" borderId="0" xfId="29" applyFont="1"/>
    <xf numFmtId="166" fontId="8" fillId="0" borderId="0" xfId="29" applyNumberFormat="1" applyFont="1"/>
    <xf numFmtId="37" fontId="47" fillId="0" borderId="0" xfId="7" applyNumberFormat="1" applyFont="1" applyFill="1" applyBorder="1" applyAlignment="1">
      <alignment horizontal="center"/>
    </xf>
    <xf numFmtId="37" fontId="38" fillId="0" borderId="0" xfId="7" applyNumberFormat="1" applyFont="1" applyFill="1" applyBorder="1" applyAlignment="1"/>
    <xf numFmtId="37" fontId="36" fillId="0" borderId="0" xfId="7" applyNumberFormat="1" applyFont="1" applyFill="1" applyBorder="1"/>
    <xf numFmtId="37" fontId="31" fillId="0" borderId="5" xfId="7" applyNumberFormat="1" applyFont="1" applyFill="1" applyBorder="1" applyAlignment="1">
      <alignment horizontal="center" wrapText="1"/>
    </xf>
    <xf numFmtId="37" fontId="9" fillId="0" borderId="16" xfId="0" applyNumberFormat="1" applyFont="1" applyFill="1" applyBorder="1" applyAlignment="1">
      <alignment horizontal="center" vertical="center" wrapText="1"/>
    </xf>
    <xf numFmtId="37" fontId="43" fillId="0" borderId="16" xfId="26" applyNumberFormat="1" applyFont="1" applyFill="1" applyBorder="1"/>
    <xf numFmtId="37" fontId="16" fillId="0" borderId="16" xfId="26" applyNumberFormat="1" applyFont="1" applyFill="1" applyBorder="1"/>
    <xf numFmtId="37" fontId="16" fillId="0" borderId="18" xfId="26" applyNumberFormat="1" applyFont="1" applyFill="1" applyBorder="1"/>
    <xf numFmtId="37" fontId="16" fillId="0" borderId="45" xfId="26" applyNumberFormat="1" applyFont="1" applyFill="1" applyBorder="1"/>
    <xf numFmtId="37" fontId="16" fillId="0" borderId="15" xfId="26" applyNumberFormat="1" applyFont="1" applyFill="1" applyBorder="1"/>
    <xf numFmtId="37" fontId="29" fillId="0" borderId="0" xfId="14" applyNumberFormat="1" applyFont="1" applyFill="1" applyBorder="1"/>
    <xf numFmtId="5" fontId="4" fillId="0" borderId="0" xfId="14" applyNumberFormat="1" applyFont="1"/>
    <xf numFmtId="5" fontId="4" fillId="0" borderId="0" xfId="0" applyNumberFormat="1" applyFont="1" applyFill="1"/>
    <xf numFmtId="37" fontId="4" fillId="0" borderId="0" xfId="14" applyNumberFormat="1" applyFont="1"/>
    <xf numFmtId="37" fontId="4" fillId="0" borderId="0" xfId="0" applyNumberFormat="1" applyFont="1" applyFill="1"/>
    <xf numFmtId="37" fontId="4" fillId="0" borderId="0" xfId="0" applyNumberFormat="1" applyFont="1" applyFill="1" applyProtection="1">
      <protection locked="0"/>
    </xf>
    <xf numFmtId="37" fontId="11" fillId="0" borderId="0" xfId="26" applyNumberFormat="1" applyFont="1" applyFill="1" applyAlignment="1">
      <alignment vertical="top"/>
    </xf>
    <xf numFmtId="37" fontId="16" fillId="0" borderId="5" xfId="26" applyNumberFormat="1" applyFont="1" applyFill="1" applyBorder="1" applyAlignment="1">
      <alignment horizontal="center" wrapText="1"/>
    </xf>
    <xf numFmtId="37" fontId="19" fillId="0" borderId="0" xfId="0" applyNumberFormat="1" applyFont="1" applyFill="1" applyAlignment="1">
      <alignment horizontal="left" vertical="top"/>
    </xf>
    <xf numFmtId="37" fontId="4" fillId="0" borderId="0" xfId="0" applyNumberFormat="1" applyFont="1" applyFill="1" applyBorder="1" applyAlignment="1"/>
    <xf numFmtId="37" fontId="4" fillId="0" borderId="0" xfId="0" applyNumberFormat="1" applyFont="1" applyFill="1" applyAlignment="1">
      <alignment horizontal="center" wrapText="1"/>
    </xf>
    <xf numFmtId="37" fontId="12" fillId="0" borderId="0" xfId="0" applyNumberFormat="1" applyFont="1" applyFill="1" applyBorder="1"/>
    <xf numFmtId="37" fontId="12" fillId="0" borderId="0" xfId="0" applyNumberFormat="1" applyFont="1" applyFill="1" applyBorder="1" applyAlignment="1"/>
    <xf numFmtId="37" fontId="4" fillId="0" borderId="0" xfId="0" applyNumberFormat="1" applyFont="1" applyFill="1" applyAlignment="1"/>
    <xf numFmtId="37" fontId="4" fillId="0" borderId="0" xfId="0" applyNumberFormat="1" applyFont="1" applyFill="1" applyBorder="1" applyAlignment="1">
      <alignment horizontal="right" indent="1"/>
    </xf>
    <xf numFmtId="37" fontId="47" fillId="0" borderId="4" xfId="7" quotePrefix="1" applyNumberFormat="1" applyFont="1" applyFill="1" applyBorder="1" applyAlignment="1">
      <alignment horizontal="center"/>
    </xf>
    <xf numFmtId="5" fontId="31" fillId="0" borderId="4" xfId="7" applyNumberFormat="1" applyFont="1" applyFill="1" applyBorder="1"/>
    <xf numFmtId="37" fontId="31" fillId="0" borderId="4" xfId="7" applyNumberFormat="1" applyFont="1" applyFill="1" applyBorder="1"/>
    <xf numFmtId="5" fontId="31" fillId="0" borderId="6" xfId="7" applyNumberFormat="1" applyFont="1" applyFill="1" applyBorder="1"/>
    <xf numFmtId="5" fontId="31" fillId="0" borderId="7" xfId="7" applyNumberFormat="1" applyFont="1" applyFill="1" applyBorder="1"/>
    <xf numFmtId="37" fontId="29" fillId="0" borderId="0" xfId="18" applyNumberFormat="1" applyFont="1" applyFill="1" applyAlignment="1">
      <alignment wrapText="1"/>
    </xf>
    <xf numFmtId="37" fontId="29" fillId="0" borderId="0" xfId="7" quotePrefix="1" applyNumberFormat="1" applyFont="1" applyFill="1" applyBorder="1" applyAlignment="1">
      <alignment horizontal="center" wrapText="1"/>
    </xf>
    <xf numFmtId="37" fontId="29" fillId="0" borderId="5" xfId="7" applyNumberFormat="1" applyFont="1" applyFill="1" applyBorder="1" applyAlignment="1">
      <alignment horizontal="center" wrapText="1"/>
    </xf>
    <xf numFmtId="37" fontId="12" fillId="0" borderId="0" xfId="0" applyNumberFormat="1" applyFont="1" applyFill="1" applyBorder="1" applyAlignment="1">
      <alignment horizontal="center" vertical="center"/>
    </xf>
    <xf numFmtId="37" fontId="17" fillId="0" borderId="4" xfId="0" applyNumberFormat="1" applyFont="1" applyFill="1" applyBorder="1" applyAlignment="1">
      <alignment horizontal="center" vertical="center" wrapText="1"/>
    </xf>
    <xf numFmtId="37" fontId="17" fillId="0" borderId="0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Alignment="1">
      <alignment horizontal="center" vertical="center"/>
    </xf>
    <xf numFmtId="37" fontId="49" fillId="0" borderId="0" xfId="18" applyNumberFormat="1" applyFont="1" applyFill="1" applyAlignment="1">
      <alignment horizontal="center" vertical="center"/>
    </xf>
    <xf numFmtId="37" fontId="50" fillId="0" borderId="0" xfId="7" quotePrefix="1" applyNumberFormat="1" applyFont="1" applyFill="1" applyBorder="1" applyAlignment="1">
      <alignment horizontal="center" vertical="center" wrapText="1"/>
    </xf>
    <xf numFmtId="37" fontId="50" fillId="0" borderId="0" xfId="7" quotePrefix="1" applyNumberFormat="1" applyFont="1" applyFill="1" applyBorder="1" applyAlignment="1">
      <alignment horizontal="center" vertical="center"/>
    </xf>
    <xf numFmtId="37" fontId="50" fillId="0" borderId="4" xfId="7" quotePrefix="1" applyNumberFormat="1" applyFont="1" applyFill="1" applyBorder="1" applyAlignment="1">
      <alignment horizontal="center" vertical="center"/>
    </xf>
    <xf numFmtId="37" fontId="50" fillId="0" borderId="0" xfId="7" applyNumberFormat="1" applyFont="1" applyFill="1" applyBorder="1" applyAlignment="1">
      <alignment horizontal="center" vertical="center"/>
    </xf>
    <xf numFmtId="37" fontId="13" fillId="0" borderId="0" xfId="14" quotePrefix="1" applyNumberFormat="1" applyFont="1" applyFill="1" applyAlignment="1">
      <alignment horizontal="center" vertical="center"/>
    </xf>
    <xf numFmtId="37" fontId="13" fillId="0" borderId="0" xfId="14" quotePrefix="1" applyNumberFormat="1" applyFont="1" applyFill="1" applyBorder="1" applyAlignment="1">
      <alignment horizontal="center" vertical="center"/>
    </xf>
    <xf numFmtId="37" fontId="13" fillId="0" borderId="31" xfId="14" quotePrefix="1" applyNumberFormat="1" applyFont="1" applyFill="1" applyBorder="1" applyAlignment="1">
      <alignment horizontal="center" vertical="center"/>
    </xf>
    <xf numFmtId="37" fontId="13" fillId="0" borderId="0" xfId="14" applyNumberFormat="1" applyFont="1" applyFill="1" applyBorder="1" applyAlignment="1">
      <alignment horizontal="center" vertical="center"/>
    </xf>
    <xf numFmtId="37" fontId="13" fillId="0" borderId="31" xfId="14" applyNumberFormat="1" applyFont="1" applyFill="1" applyBorder="1" applyAlignment="1">
      <alignment horizontal="center" vertical="center"/>
    </xf>
    <xf numFmtId="37" fontId="13" fillId="0" borderId="38" xfId="14" applyNumberFormat="1" applyFont="1" applyFill="1" applyBorder="1" applyAlignment="1">
      <alignment horizontal="center" vertical="center"/>
    </xf>
    <xf numFmtId="37" fontId="6" fillId="0" borderId="0" xfId="26" applyNumberFormat="1" applyFont="1" applyFill="1" applyBorder="1" applyAlignment="1">
      <alignment vertical="center"/>
    </xf>
    <xf numFmtId="37" fontId="6" fillId="0" borderId="9" xfId="26" applyNumberFormat="1" applyFont="1" applyFill="1" applyBorder="1" applyAlignment="1">
      <alignment vertical="center"/>
    </xf>
    <xf numFmtId="37" fontId="6" fillId="0" borderId="9" xfId="26" applyNumberFormat="1" applyFont="1" applyFill="1" applyBorder="1" applyAlignment="1">
      <alignment horizontal="center" vertical="center"/>
    </xf>
    <xf numFmtId="37" fontId="6" fillId="0" borderId="4" xfId="26" applyNumberFormat="1" applyFont="1" applyFill="1" applyBorder="1" applyAlignment="1">
      <alignment horizontal="center" vertical="center"/>
    </xf>
    <xf numFmtId="37" fontId="6" fillId="0" borderId="0" xfId="26" applyNumberFormat="1" applyFont="1" applyFill="1" applyBorder="1" applyAlignment="1">
      <alignment horizontal="center" vertical="center"/>
    </xf>
    <xf numFmtId="37" fontId="6" fillId="0" borderId="0" xfId="26" applyNumberFormat="1" applyFont="1" applyFill="1" applyAlignment="1">
      <alignment vertical="center"/>
    </xf>
    <xf numFmtId="0" fontId="29" fillId="0" borderId="9" xfId="14" applyFont="1" applyFill="1" applyBorder="1" applyAlignment="1">
      <alignment horizontal="center" vertical="center"/>
    </xf>
    <xf numFmtId="0" fontId="31" fillId="0" borderId="0" xfId="14" applyFont="1" applyFill="1" applyBorder="1" applyAlignment="1">
      <alignment vertical="center"/>
    </xf>
    <xf numFmtId="0" fontId="31" fillId="0" borderId="19" xfId="14" applyFont="1" applyFill="1" applyBorder="1" applyAlignment="1">
      <alignment horizontal="center" vertical="center"/>
    </xf>
    <xf numFmtId="0" fontId="31" fillId="0" borderId="0" xfId="14" applyFont="1" applyFill="1" applyBorder="1" applyAlignment="1">
      <alignment horizontal="center" vertical="center"/>
    </xf>
    <xf numFmtId="0" fontId="31" fillId="0" borderId="9" xfId="14" applyFont="1" applyFill="1" applyBorder="1" applyAlignment="1">
      <alignment horizontal="center" vertical="center"/>
    </xf>
    <xf numFmtId="0" fontId="31" fillId="0" borderId="16" xfId="14" applyFont="1" applyFill="1" applyBorder="1" applyAlignment="1">
      <alignment horizontal="center" vertical="center"/>
    </xf>
    <xf numFmtId="0" fontId="39" fillId="0" borderId="0" xfId="14" applyFont="1" applyFill="1" applyBorder="1" applyAlignment="1">
      <alignment horizontal="center" vertical="center"/>
    </xf>
    <xf numFmtId="0" fontId="29" fillId="0" borderId="16" xfId="14" applyFont="1" applyFill="1" applyBorder="1" applyAlignment="1">
      <alignment vertical="center"/>
    </xf>
    <xf numFmtId="0" fontId="29" fillId="0" borderId="0" xfId="14" applyFont="1" applyFill="1" applyBorder="1" applyAlignment="1">
      <alignment vertical="center"/>
    </xf>
    <xf numFmtId="5" fontId="31" fillId="0" borderId="0" xfId="18" applyNumberFormat="1" applyFont="1" applyFill="1"/>
    <xf numFmtId="5" fontId="36" fillId="0" borderId="0" xfId="18" applyNumberFormat="1" applyFont="1" applyFill="1"/>
    <xf numFmtId="37" fontId="29" fillId="0" borderId="11" xfId="7" applyNumberFormat="1" applyFont="1" applyFill="1" applyBorder="1" applyAlignment="1">
      <alignment horizontal="center" wrapText="1"/>
    </xf>
    <xf numFmtId="37" fontId="31" fillId="0" borderId="8" xfId="7" applyNumberFormat="1" applyFont="1" applyFill="1" applyBorder="1"/>
    <xf numFmtId="37" fontId="29" fillId="0" borderId="11" xfId="7" quotePrefix="1" applyNumberFormat="1" applyFont="1" applyFill="1" applyBorder="1" applyAlignment="1">
      <alignment horizontal="center" wrapText="1"/>
    </xf>
    <xf numFmtId="37" fontId="50" fillId="0" borderId="9" xfId="7" quotePrefix="1" applyNumberFormat="1" applyFont="1" applyFill="1" applyBorder="1" applyAlignment="1">
      <alignment horizontal="center" vertical="center" wrapText="1"/>
    </xf>
    <xf numFmtId="37" fontId="31" fillId="0" borderId="36" xfId="7" applyNumberFormat="1" applyFont="1" applyFill="1" applyBorder="1"/>
    <xf numFmtId="5" fontId="31" fillId="0" borderId="14" xfId="7" applyNumberFormat="1" applyFont="1" applyFill="1" applyBorder="1"/>
    <xf numFmtId="37" fontId="0" fillId="0" borderId="0" xfId="0" applyNumberFormat="1"/>
    <xf numFmtId="37" fontId="29" fillId="0" borderId="10" xfId="7" applyNumberFormat="1" applyFont="1" applyFill="1" applyBorder="1" applyAlignment="1">
      <alignment horizontal="center" wrapText="1"/>
    </xf>
    <xf numFmtId="37" fontId="50" fillId="0" borderId="9" xfId="7" applyNumberFormat="1" applyFont="1" applyFill="1" applyBorder="1" applyAlignment="1">
      <alignment horizontal="center" vertical="center"/>
    </xf>
    <xf numFmtId="37" fontId="47" fillId="0" borderId="9" xfId="7" quotePrefix="1" applyNumberFormat="1" applyFont="1" applyFill="1" applyBorder="1" applyAlignment="1">
      <alignment horizontal="center"/>
    </xf>
    <xf numFmtId="5" fontId="31" fillId="0" borderId="9" xfId="7" applyNumberFormat="1" applyFont="1" applyFill="1" applyBorder="1"/>
    <xf numFmtId="37" fontId="31" fillId="0" borderId="9" xfId="7" applyNumberFormat="1" applyFont="1" applyFill="1" applyBorder="1"/>
    <xf numFmtId="5" fontId="31" fillId="0" borderId="35" xfId="7" applyNumberFormat="1" applyFont="1" applyFill="1" applyBorder="1"/>
    <xf numFmtId="37" fontId="31" fillId="0" borderId="17" xfId="7" applyNumberFormat="1" applyFont="1" applyFill="1" applyBorder="1"/>
    <xf numFmtId="37" fontId="15" fillId="0" borderId="0" xfId="0" applyNumberFormat="1" applyFont="1" applyFill="1" applyAlignment="1"/>
    <xf numFmtId="37" fontId="38" fillId="0" borderId="0" xfId="18" quotePrefix="1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vertical="top"/>
    </xf>
    <xf numFmtId="37" fontId="4" fillId="0" borderId="0" xfId="0" applyNumberFormat="1" applyFont="1" applyFill="1" applyBorder="1" applyAlignment="1">
      <alignment horizontal="right" vertical="top"/>
    </xf>
    <xf numFmtId="37" fontId="36" fillId="0" borderId="0" xfId="7" applyNumberFormat="1" applyFont="1" applyFill="1" applyAlignment="1">
      <alignment vertical="top"/>
    </xf>
    <xf numFmtId="37" fontId="36" fillId="0" borderId="0" xfId="7" applyNumberFormat="1" applyFont="1" applyFill="1" applyBorder="1" applyAlignment="1">
      <alignment vertical="top"/>
    </xf>
    <xf numFmtId="37" fontId="36" fillId="0" borderId="0" xfId="18" applyNumberFormat="1" applyFont="1" applyFill="1" applyAlignment="1">
      <alignment vertical="top"/>
    </xf>
    <xf numFmtId="37" fontId="29" fillId="0" borderId="0" xfId="18" applyNumberFormat="1" applyFont="1" applyFill="1" applyAlignment="1">
      <alignment vertical="top"/>
    </xf>
    <xf numFmtId="37" fontId="15" fillId="0" borderId="8" xfId="0" applyNumberFormat="1" applyFont="1" applyFill="1" applyBorder="1" applyAlignment="1"/>
    <xf numFmtId="37" fontId="5" fillId="0" borderId="2" xfId="0" applyNumberFormat="1" applyFont="1" applyFill="1" applyBorder="1" applyAlignment="1">
      <alignment horizontal="center"/>
    </xf>
    <xf numFmtId="37" fontId="29" fillId="0" borderId="0" xfId="18" applyNumberFormat="1" applyFont="1" applyFill="1" applyAlignment="1">
      <alignment horizontal="center" wrapText="1"/>
    </xf>
    <xf numFmtId="5" fontId="31" fillId="0" borderId="2" xfId="18" applyNumberFormat="1" applyFont="1" applyFill="1" applyBorder="1"/>
    <xf numFmtId="5" fontId="31" fillId="0" borderId="3" xfId="18" applyNumberFormat="1" applyFont="1" applyFill="1" applyBorder="1"/>
    <xf numFmtId="37" fontId="4" fillId="0" borderId="0" xfId="0" applyNumberFormat="1" applyFont="1" applyFill="1" applyAlignment="1">
      <alignment vertical="top" wrapText="1"/>
    </xf>
    <xf numFmtId="37" fontId="4" fillId="0" borderId="5" xfId="0" applyNumberFormat="1" applyFont="1" applyFill="1" applyBorder="1" applyAlignment="1">
      <alignment horizontal="center" wrapText="1"/>
    </xf>
    <xf numFmtId="37" fontId="12" fillId="0" borderId="4" xfId="0" applyNumberFormat="1" applyFont="1" applyFill="1" applyBorder="1" applyAlignment="1">
      <alignment horizontal="center" vertical="center"/>
    </xf>
    <xf numFmtId="37" fontId="12" fillId="0" borderId="4" xfId="0" applyNumberFormat="1" applyFont="1" applyFill="1" applyBorder="1"/>
    <xf numFmtId="37" fontId="6" fillId="0" borderId="4" xfId="26" applyNumberFormat="1" applyFont="1" applyFill="1" applyBorder="1" applyAlignment="1">
      <alignment vertical="center"/>
    </xf>
    <xf numFmtId="37" fontId="31" fillId="0" borderId="4" xfId="18" applyNumberFormat="1" applyFont="1" applyFill="1" applyBorder="1"/>
    <xf numFmtId="37" fontId="47" fillId="0" borderId="9" xfId="7" applyNumberFormat="1" applyFont="1" applyFill="1" applyBorder="1" applyAlignment="1">
      <alignment horizontal="center" wrapText="1"/>
    </xf>
    <xf numFmtId="37" fontId="7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right" vertical="top"/>
    </xf>
    <xf numFmtId="37" fontId="29" fillId="0" borderId="0" xfId="0" applyNumberFormat="1" applyFont="1" applyFill="1"/>
    <xf numFmtId="37" fontId="31" fillId="0" borderId="9" xfId="14" applyNumberFormat="1" applyFont="1" applyFill="1" applyBorder="1"/>
    <xf numFmtId="37" fontId="31" fillId="2" borderId="9" xfId="14" applyNumberFormat="1" applyFont="1" applyFill="1" applyBorder="1"/>
    <xf numFmtId="37" fontId="58" fillId="0" borderId="0" xfId="7" applyNumberFormat="1" applyFont="1" applyFill="1"/>
    <xf numFmtId="37" fontId="59" fillId="0" borderId="0" xfId="0" applyNumberFormat="1" applyFont="1" applyFill="1" applyBorder="1" applyAlignment="1">
      <alignment horizontal="center" vertical="center"/>
    </xf>
    <xf numFmtId="0" fontId="59" fillId="0" borderId="0" xfId="14" applyFont="1" applyFill="1" applyBorder="1" applyAlignment="1">
      <alignment horizontal="center"/>
    </xf>
    <xf numFmtId="166" fontId="29" fillId="0" borderId="0" xfId="29" applyNumberFormat="1" applyFont="1" applyFill="1" applyBorder="1"/>
    <xf numFmtId="37" fontId="62" fillId="0" borderId="0" xfId="7" applyNumberFormat="1" applyFont="1" applyFill="1" applyBorder="1" applyAlignment="1">
      <alignment horizontal="left"/>
    </xf>
    <xf numFmtId="37" fontId="61" fillId="0" borderId="0" xfId="7" quotePrefix="1" applyNumberFormat="1" applyFont="1" applyFill="1" applyBorder="1" applyAlignment="1">
      <alignment horizontal="center" vertical="center" wrapText="1"/>
    </xf>
    <xf numFmtId="37" fontId="61" fillId="0" borderId="0" xfId="0" applyNumberFormat="1" applyFont="1" applyFill="1" applyBorder="1" applyAlignment="1"/>
    <xf numFmtId="37" fontId="63" fillId="0" borderId="0" xfId="7" quotePrefix="1" applyNumberFormat="1" applyFont="1" applyFill="1" applyBorder="1" applyAlignment="1">
      <alignment horizontal="center" vertical="center" wrapText="1"/>
    </xf>
    <xf numFmtId="0" fontId="18" fillId="0" borderId="0" xfId="31" applyFont="1" applyFill="1" applyBorder="1"/>
    <xf numFmtId="0" fontId="16" fillId="0" borderId="0" xfId="31" applyFont="1" applyFill="1" applyBorder="1"/>
    <xf numFmtId="0" fontId="62" fillId="0" borderId="0" xfId="31" applyFont="1" applyFill="1" applyBorder="1"/>
    <xf numFmtId="0" fontId="33" fillId="0" borderId="0" xfId="31" applyFont="1" applyFill="1" applyBorder="1"/>
    <xf numFmtId="0" fontId="43" fillId="0" borderId="0" xfId="31" applyFont="1" applyFill="1" applyBorder="1"/>
    <xf numFmtId="0" fontId="62" fillId="0" borderId="0" xfId="31" applyFont="1" applyFill="1" applyBorder="1" applyAlignment="1">
      <alignment horizontal="right"/>
    </xf>
    <xf numFmtId="0" fontId="62" fillId="0" borderId="0" xfId="31" applyFont="1" applyFill="1" applyBorder="1" applyAlignment="1">
      <alignment horizontal="center"/>
    </xf>
    <xf numFmtId="0" fontId="15" fillId="0" borderId="0" xfId="31" applyFont="1" applyFill="1" applyBorder="1" applyAlignment="1">
      <alignment horizontal="right"/>
    </xf>
    <xf numFmtId="0" fontId="15" fillId="0" borderId="0" xfId="31" applyFont="1" applyFill="1" applyBorder="1"/>
    <xf numFmtId="0" fontId="64" fillId="0" borderId="0" xfId="31" applyFont="1" applyFill="1" applyBorder="1"/>
    <xf numFmtId="0" fontId="7" fillId="0" borderId="0" xfId="31" applyFont="1" applyFill="1" applyBorder="1" applyAlignment="1">
      <alignment horizontal="right"/>
    </xf>
    <xf numFmtId="0" fontId="44" fillId="0" borderId="0" xfId="31" applyFont="1" applyFill="1" applyBorder="1"/>
    <xf numFmtId="37" fontId="23" fillId="0" borderId="0" xfId="14" applyNumberFormat="1" applyFont="1" applyFill="1" applyBorder="1" applyAlignment="1">
      <alignment horizontal="center" vertical="center"/>
    </xf>
    <xf numFmtId="0" fontId="16" fillId="0" borderId="0" xfId="31" applyFont="1" applyFill="1"/>
    <xf numFmtId="0" fontId="16" fillId="0" borderId="1" xfId="31" applyFont="1" applyFill="1" applyBorder="1"/>
    <xf numFmtId="0" fontId="4" fillId="0" borderId="27" xfId="31" applyFont="1" applyFill="1" applyBorder="1" applyAlignment="1">
      <alignment horizontal="center" wrapText="1"/>
    </xf>
    <xf numFmtId="0" fontId="4" fillId="0" borderId="1" xfId="31" applyFont="1" applyFill="1" applyBorder="1" applyAlignment="1">
      <alignment horizontal="center" wrapText="1"/>
    </xf>
    <xf numFmtId="0" fontId="4" fillId="0" borderId="28" xfId="31" applyFont="1" applyFill="1" applyBorder="1" applyAlignment="1">
      <alignment horizontal="center" wrapText="1"/>
    </xf>
    <xf numFmtId="0" fontId="6" fillId="0" borderId="28" xfId="31" applyFont="1" applyFill="1" applyBorder="1" applyAlignment="1">
      <alignment horizontal="center" wrapText="1"/>
    </xf>
    <xf numFmtId="0" fontId="6" fillId="0" borderId="34" xfId="31" applyFont="1" applyFill="1" applyBorder="1" applyAlignment="1">
      <alignment horizontal="center" wrapText="1"/>
    </xf>
    <xf numFmtId="0" fontId="6" fillId="0" borderId="29" xfId="31" applyFont="1" applyFill="1" applyBorder="1" applyAlignment="1">
      <alignment horizontal="center" wrapText="1"/>
    </xf>
    <xf numFmtId="0" fontId="6" fillId="0" borderId="30" xfId="31" applyFont="1" applyFill="1" applyBorder="1" applyAlignment="1">
      <alignment horizontal="center" wrapText="1"/>
    </xf>
    <xf numFmtId="0" fontId="4" fillId="0" borderId="0" xfId="31" applyFont="1" applyFill="1" applyAlignment="1">
      <alignment horizontal="center" wrapText="1"/>
    </xf>
    <xf numFmtId="0" fontId="52" fillId="0" borderId="23" xfId="31" applyFont="1" applyFill="1" applyBorder="1" applyAlignment="1">
      <alignment horizontal="center" vertical="center" wrapText="1"/>
    </xf>
    <xf numFmtId="0" fontId="52" fillId="0" borderId="0" xfId="31" applyFont="1" applyFill="1" applyBorder="1" applyAlignment="1">
      <alignment horizontal="center" vertical="center" wrapText="1"/>
    </xf>
    <xf numFmtId="0" fontId="62" fillId="0" borderId="0" xfId="31" applyFont="1" applyFill="1" applyBorder="1" applyAlignment="1">
      <alignment horizontal="center" vertical="center" wrapText="1"/>
    </xf>
    <xf numFmtId="0" fontId="52" fillId="0" borderId="39" xfId="31" applyFont="1" applyFill="1" applyBorder="1" applyAlignment="1">
      <alignment horizontal="center" vertical="center" wrapText="1"/>
    </xf>
    <xf numFmtId="0" fontId="52" fillId="0" borderId="38" xfId="31" applyFont="1" applyFill="1" applyBorder="1" applyAlignment="1">
      <alignment horizontal="center" vertical="center" wrapText="1"/>
    </xf>
    <xf numFmtId="37" fontId="9" fillId="0" borderId="0" xfId="14" applyNumberFormat="1" applyFont="1" applyFill="1" applyBorder="1" applyAlignment="1">
      <alignment horizontal="center" vertical="center" wrapText="1"/>
    </xf>
    <xf numFmtId="0" fontId="13" fillId="0" borderId="31" xfId="31" applyFont="1" applyFill="1" applyBorder="1" applyAlignment="1">
      <alignment horizontal="center" vertical="center" wrapText="1"/>
    </xf>
    <xf numFmtId="0" fontId="52" fillId="0" borderId="0" xfId="31" applyFont="1" applyFill="1" applyAlignment="1">
      <alignment horizontal="center" vertical="center" wrapText="1"/>
    </xf>
    <xf numFmtId="0" fontId="16" fillId="0" borderId="23" xfId="31" applyFont="1" applyFill="1" applyBorder="1" applyAlignment="1">
      <alignment horizontal="center" wrapText="1"/>
    </xf>
    <xf numFmtId="0" fontId="16" fillId="0" borderId="0" xfId="31" applyFont="1" applyFill="1" applyBorder="1" applyAlignment="1">
      <alignment horizontal="center" wrapText="1"/>
    </xf>
    <xf numFmtId="0" fontId="43" fillId="0" borderId="0" xfId="31" applyFont="1" applyFill="1" applyBorder="1" applyAlignment="1">
      <alignment horizontal="center" wrapText="1"/>
    </xf>
    <xf numFmtId="0" fontId="16" fillId="0" borderId="22" xfId="31" applyFont="1" applyFill="1" applyBorder="1" applyAlignment="1">
      <alignment horizontal="center" wrapText="1"/>
    </xf>
    <xf numFmtId="0" fontId="43" fillId="0" borderId="31" xfId="31" applyFont="1" applyFill="1" applyBorder="1" applyAlignment="1">
      <alignment horizontal="center" wrapText="1"/>
    </xf>
    <xf numFmtId="0" fontId="43" fillId="0" borderId="22" xfId="31" applyFont="1" applyFill="1" applyBorder="1" applyAlignment="1">
      <alignment horizontal="center" wrapText="1"/>
    </xf>
    <xf numFmtId="0" fontId="16" fillId="0" borderId="0" xfId="31" applyFont="1" applyFill="1" applyAlignment="1">
      <alignment horizontal="center" wrapText="1"/>
    </xf>
    <xf numFmtId="5" fontId="16" fillId="0" borderId="23" xfId="31" applyNumberFormat="1" applyFont="1" applyFill="1" applyBorder="1"/>
    <xf numFmtId="5" fontId="16" fillId="0" borderId="0" xfId="31" applyNumberFormat="1" applyFont="1" applyFill="1" applyBorder="1"/>
    <xf numFmtId="5" fontId="16" fillId="0" borderId="0" xfId="31" applyNumberFormat="1" applyFont="1" applyFill="1"/>
    <xf numFmtId="5" fontId="43" fillId="0" borderId="0" xfId="31" applyNumberFormat="1" applyFont="1" applyFill="1" applyBorder="1"/>
    <xf numFmtId="5" fontId="43" fillId="0" borderId="0" xfId="31" applyNumberFormat="1" applyFont="1" applyFill="1"/>
    <xf numFmtId="5" fontId="16" fillId="0" borderId="22" xfId="31" applyNumberFormat="1" applyFont="1" applyFill="1" applyBorder="1"/>
    <xf numFmtId="5" fontId="43" fillId="0" borderId="31" xfId="31" applyNumberFormat="1" applyFont="1" applyFill="1" applyBorder="1"/>
    <xf numFmtId="5" fontId="43" fillId="0" borderId="22" xfId="31" applyNumberFormat="1" applyFont="1" applyFill="1" applyBorder="1"/>
    <xf numFmtId="37" fontId="16" fillId="0" borderId="23" xfId="31" applyNumberFormat="1" applyFont="1" applyFill="1" applyBorder="1"/>
    <xf numFmtId="37" fontId="16" fillId="0" borderId="0" xfId="31" applyNumberFormat="1" applyFont="1" applyFill="1" applyBorder="1"/>
    <xf numFmtId="37" fontId="43" fillId="0" borderId="0" xfId="31" applyNumberFormat="1" applyFont="1" applyFill="1" applyBorder="1"/>
    <xf numFmtId="37" fontId="16" fillId="0" borderId="22" xfId="31" applyNumberFormat="1" applyFont="1" applyFill="1" applyBorder="1"/>
    <xf numFmtId="37" fontId="43" fillId="0" borderId="31" xfId="31" applyNumberFormat="1" applyFont="1" applyFill="1" applyBorder="1"/>
    <xf numFmtId="37" fontId="43" fillId="0" borderId="22" xfId="31" applyNumberFormat="1" applyFont="1" applyFill="1" applyBorder="1"/>
    <xf numFmtId="0" fontId="43" fillId="0" borderId="31" xfId="31" applyFont="1" applyFill="1" applyBorder="1"/>
    <xf numFmtId="5" fontId="15" fillId="0" borderId="25" xfId="31" applyNumberFormat="1" applyFont="1" applyFill="1" applyBorder="1"/>
    <xf numFmtId="5" fontId="16" fillId="0" borderId="2" xfId="31" applyNumberFormat="1" applyFont="1" applyFill="1" applyBorder="1"/>
    <xf numFmtId="5" fontId="43" fillId="0" borderId="2" xfId="31" applyNumberFormat="1" applyFont="1" applyFill="1" applyBorder="1"/>
    <xf numFmtId="5" fontId="16" fillId="0" borderId="24" xfId="31" applyNumberFormat="1" applyFont="1" applyFill="1" applyBorder="1"/>
    <xf numFmtId="5" fontId="43" fillId="0" borderId="32" xfId="31" applyNumberFormat="1" applyFont="1" applyFill="1" applyBorder="1"/>
    <xf numFmtId="5" fontId="43" fillId="0" borderId="24" xfId="31" applyNumberFormat="1" applyFont="1" applyFill="1" applyBorder="1"/>
    <xf numFmtId="5" fontId="15" fillId="0" borderId="23" xfId="31" applyNumberFormat="1" applyFont="1" applyFill="1" applyBorder="1"/>
    <xf numFmtId="37" fontId="16" fillId="0" borderId="0" xfId="31" applyNumberFormat="1" applyFont="1" applyFill="1"/>
    <xf numFmtId="37" fontId="43" fillId="0" borderId="0" xfId="31" applyNumberFormat="1" applyFont="1" applyFill="1"/>
    <xf numFmtId="0" fontId="16" fillId="0" borderId="23" xfId="31" applyFont="1" applyFill="1" applyBorder="1"/>
    <xf numFmtId="37" fontId="43" fillId="0" borderId="43" xfId="31" applyNumberFormat="1" applyFont="1" applyFill="1" applyBorder="1"/>
    <xf numFmtId="37" fontId="43" fillId="0" borderId="8" xfId="31" applyNumberFormat="1" applyFont="1" applyFill="1" applyBorder="1"/>
    <xf numFmtId="37" fontId="43" fillId="0" borderId="44" xfId="31" applyNumberFormat="1" applyFont="1" applyFill="1" applyBorder="1"/>
    <xf numFmtId="5" fontId="15" fillId="0" borderId="21" xfId="31" applyNumberFormat="1" applyFont="1" applyFill="1" applyBorder="1"/>
    <xf numFmtId="5" fontId="15" fillId="0" borderId="3" xfId="31" applyNumberFormat="1" applyFont="1" applyFill="1" applyBorder="1"/>
    <xf numFmtId="5" fontId="64" fillId="0" borderId="3" xfId="31" applyNumberFormat="1" applyFont="1" applyFill="1" applyBorder="1"/>
    <xf numFmtId="5" fontId="15" fillId="0" borderId="20" xfId="31" applyNumberFormat="1" applyFont="1" applyFill="1" applyBorder="1"/>
    <xf numFmtId="5" fontId="64" fillId="0" borderId="33" xfId="31" applyNumberFormat="1" applyFont="1" applyFill="1" applyBorder="1"/>
    <xf numFmtId="5" fontId="64" fillId="0" borderId="26" xfId="31" applyNumberFormat="1" applyFont="1" applyFill="1" applyBorder="1"/>
    <xf numFmtId="5" fontId="64" fillId="0" borderId="1" xfId="31" applyNumberFormat="1" applyFont="1" applyFill="1" applyBorder="1"/>
    <xf numFmtId="5" fontId="64" fillId="0" borderId="34" xfId="31" applyNumberFormat="1" applyFont="1" applyFill="1" applyBorder="1"/>
    <xf numFmtId="0" fontId="43" fillId="0" borderId="0" xfId="31" applyFont="1" applyFill="1"/>
    <xf numFmtId="0" fontId="12" fillId="0" borderId="0" xfId="31" applyFont="1" applyFill="1"/>
    <xf numFmtId="0" fontId="4" fillId="0" borderId="0" xfId="31" applyFont="1" applyFill="1"/>
    <xf numFmtId="166" fontId="4" fillId="0" borderId="0" xfId="31" applyNumberFormat="1" applyFont="1" applyFill="1"/>
    <xf numFmtId="0" fontId="12" fillId="0" borderId="0" xfId="31" applyNumberFormat="1" applyFont="1" applyFill="1" applyAlignment="1"/>
    <xf numFmtId="5" fontId="4" fillId="0" borderId="0" xfId="31" applyNumberFormat="1" applyFont="1" applyFill="1"/>
    <xf numFmtId="0" fontId="6" fillId="0" borderId="0" xfId="31" applyFont="1" applyFill="1"/>
    <xf numFmtId="0" fontId="65" fillId="0" borderId="0" xfId="31" applyFont="1" applyFill="1"/>
    <xf numFmtId="7" fontId="16" fillId="0" borderId="0" xfId="31" applyNumberFormat="1" applyFont="1" applyFill="1"/>
    <xf numFmtId="0" fontId="16" fillId="0" borderId="0" xfId="31" applyFont="1" applyFill="1" applyAlignment="1">
      <alignment horizontal="center"/>
    </xf>
    <xf numFmtId="0" fontId="4" fillId="0" borderId="0" xfId="31" applyFont="1" applyFill="1" applyAlignment="1">
      <alignment horizontal="center"/>
    </xf>
    <xf numFmtId="7" fontId="4" fillId="0" borderId="0" xfId="31" applyNumberFormat="1" applyFont="1" applyFill="1" applyAlignment="1">
      <alignment horizontal="center"/>
    </xf>
    <xf numFmtId="7" fontId="6" fillId="0" borderId="0" xfId="31" applyNumberFormat="1" applyFont="1" applyFill="1" applyAlignment="1">
      <alignment horizontal="center"/>
    </xf>
    <xf numFmtId="5" fontId="16" fillId="0" borderId="0" xfId="31" applyNumberFormat="1" applyFont="1" applyFill="1" applyAlignment="1">
      <alignment horizontal="center"/>
    </xf>
    <xf numFmtId="0" fontId="12" fillId="0" borderId="0" xfId="31" applyNumberFormat="1" applyFont="1" applyFill="1" applyAlignment="1">
      <alignment wrapText="1"/>
    </xf>
    <xf numFmtId="0" fontId="65" fillId="0" borderId="0" xfId="31" applyNumberFormat="1" applyFont="1" applyFill="1" applyAlignment="1">
      <alignment wrapText="1"/>
    </xf>
    <xf numFmtId="0" fontId="65" fillId="0" borderId="0" xfId="31" applyNumberFormat="1" applyFont="1" applyFill="1" applyAlignment="1"/>
    <xf numFmtId="0" fontId="16" fillId="0" borderId="0" xfId="31" applyFont="1" applyFill="1" applyAlignment="1">
      <alignment vertical="center"/>
    </xf>
    <xf numFmtId="5" fontId="16" fillId="0" borderId="0" xfId="31" applyNumberFormat="1" applyFont="1" applyFill="1" applyAlignment="1">
      <alignment vertical="center"/>
    </xf>
    <xf numFmtId="0" fontId="43" fillId="0" borderId="0" xfId="31" applyFont="1" applyFill="1" applyAlignment="1">
      <alignment vertical="center"/>
    </xf>
    <xf numFmtId="7" fontId="16" fillId="0" borderId="0" xfId="31" applyNumberFormat="1" applyFont="1" applyFill="1" applyAlignment="1">
      <alignment vertical="center"/>
    </xf>
    <xf numFmtId="5" fontId="43" fillId="0" borderId="0" xfId="31" applyNumberFormat="1" applyFont="1" applyFill="1" applyAlignment="1">
      <alignment vertical="center"/>
    </xf>
    <xf numFmtId="165" fontId="31" fillId="0" borderId="9" xfId="32" applyNumberFormat="1" applyFont="1" applyBorder="1"/>
    <xf numFmtId="37" fontId="31" fillId="0" borderId="9" xfId="32" applyNumberFormat="1" applyFont="1" applyBorder="1"/>
    <xf numFmtId="3" fontId="31" fillId="0" borderId="9" xfId="32" applyNumberFormat="1" applyFont="1" applyBorder="1"/>
    <xf numFmtId="0" fontId="31" fillId="0" borderId="1" xfId="14" applyFont="1" applyFill="1" applyBorder="1" applyAlignment="1">
      <alignment horizontal="centerContinuous"/>
    </xf>
    <xf numFmtId="0" fontId="46" fillId="0" borderId="9" xfId="14" applyFont="1" applyFill="1" applyBorder="1"/>
    <xf numFmtId="37" fontId="16" fillId="0" borderId="0" xfId="13" applyNumberFormat="1" applyFont="1" applyFill="1" applyAlignment="1">
      <alignment vertical="top"/>
    </xf>
    <xf numFmtId="37" fontId="66" fillId="0" borderId="11" xfId="7" applyNumberFormat="1" applyFont="1" applyFill="1" applyBorder="1" applyAlignment="1">
      <alignment horizontal="center" wrapText="1"/>
    </xf>
    <xf numFmtId="5" fontId="47" fillId="0" borderId="0" xfId="7" applyNumberFormat="1" applyFont="1" applyFill="1" applyBorder="1"/>
    <xf numFmtId="37" fontId="47" fillId="0" borderId="0" xfId="7" applyNumberFormat="1" applyFont="1" applyFill="1" applyBorder="1"/>
    <xf numFmtId="5" fontId="47" fillId="0" borderId="2" xfId="7" applyNumberFormat="1" applyFont="1" applyFill="1" applyBorder="1"/>
    <xf numFmtId="37" fontId="47" fillId="0" borderId="8" xfId="7" applyNumberFormat="1" applyFont="1" applyFill="1" applyBorder="1"/>
    <xf numFmtId="5" fontId="47" fillId="0" borderId="3" xfId="7" applyNumberFormat="1" applyFont="1" applyFill="1" applyBorder="1"/>
    <xf numFmtId="37" fontId="67" fillId="0" borderId="0" xfId="18" applyNumberFormat="1" applyFont="1" applyFill="1"/>
    <xf numFmtId="37" fontId="39" fillId="0" borderId="0" xfId="18" applyNumberFormat="1" applyFont="1" applyFill="1" applyBorder="1" applyAlignment="1">
      <alignment horizontal="center"/>
    </xf>
    <xf numFmtId="37" fontId="64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 wrapText="1"/>
    </xf>
    <xf numFmtId="37" fontId="65" fillId="0" borderId="0" xfId="0" applyNumberFormat="1" applyFont="1" applyFill="1" applyBorder="1" applyAlignment="1">
      <alignment horizontal="center" vertical="center"/>
    </xf>
    <xf numFmtId="37" fontId="65" fillId="0" borderId="0" xfId="0" applyNumberFormat="1" applyFont="1" applyFill="1" applyBorder="1" applyAlignment="1"/>
    <xf numFmtId="5" fontId="43" fillId="0" borderId="0" xfId="0" applyNumberFormat="1" applyFont="1" applyFill="1" applyBorder="1"/>
    <xf numFmtId="37" fontId="43" fillId="0" borderId="0" xfId="0" applyNumberFormat="1" applyFont="1" applyFill="1" applyBorder="1"/>
    <xf numFmtId="37" fontId="43" fillId="0" borderId="0" xfId="0" applyNumberFormat="1" applyFont="1" applyFill="1" applyBorder="1" applyAlignment="1"/>
    <xf numFmtId="5" fontId="43" fillId="0" borderId="2" xfId="0" applyNumberFormat="1" applyFont="1" applyFill="1" applyBorder="1" applyAlignment="1"/>
    <xf numFmtId="37" fontId="43" fillId="0" borderId="0" xfId="0" applyNumberFormat="1" applyFont="1" applyFill="1"/>
    <xf numFmtId="5" fontId="43" fillId="0" borderId="3" xfId="0" applyNumberFormat="1" applyFont="1" applyFill="1" applyBorder="1" applyAlignment="1"/>
    <xf numFmtId="37" fontId="67" fillId="0" borderId="0" xfId="18" applyNumberFormat="1" applyFont="1" applyFill="1" applyBorder="1"/>
    <xf numFmtId="37" fontId="66" fillId="0" borderId="5" xfId="7" applyNumberFormat="1" applyFont="1" applyFill="1" applyBorder="1" applyAlignment="1">
      <alignment horizontal="center" wrapText="1"/>
    </xf>
    <xf numFmtId="5" fontId="47" fillId="0" borderId="4" xfId="7" applyNumberFormat="1" applyFont="1" applyFill="1" applyBorder="1"/>
    <xf numFmtId="37" fontId="47" fillId="0" borderId="4" xfId="7" applyNumberFormat="1" applyFont="1" applyFill="1" applyBorder="1"/>
    <xf numFmtId="5" fontId="47" fillId="0" borderId="6" xfId="7" applyNumberFormat="1" applyFont="1" applyFill="1" applyBorder="1"/>
    <xf numFmtId="37" fontId="47" fillId="0" borderId="36" xfId="7" applyNumberFormat="1" applyFont="1" applyFill="1" applyBorder="1"/>
    <xf numFmtId="5" fontId="47" fillId="0" borderId="7" xfId="7" applyNumberFormat="1" applyFont="1" applyFill="1" applyBorder="1"/>
    <xf numFmtId="37" fontId="67" fillId="0" borderId="0" xfId="7" applyNumberFormat="1" applyFont="1" applyFill="1"/>
    <xf numFmtId="0" fontId="55" fillId="0" borderId="1" xfId="31" applyFont="1" applyFill="1" applyBorder="1" applyAlignment="1">
      <alignment horizontal="center" wrapText="1"/>
    </xf>
    <xf numFmtId="37" fontId="5" fillId="0" borderId="37" xfId="0" applyNumberFormat="1" applyFont="1" applyFill="1" applyBorder="1" applyAlignment="1">
      <alignment horizontal="center" vertical="center"/>
    </xf>
    <xf numFmtId="37" fontId="5" fillId="0" borderId="8" xfId="0" quotePrefix="1" applyNumberFormat="1" applyFont="1" applyFill="1" applyBorder="1" applyAlignment="1">
      <alignment horizontal="center" vertical="center"/>
    </xf>
    <xf numFmtId="37" fontId="5" fillId="0" borderId="2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left" vertical="top" wrapText="1"/>
    </xf>
    <xf numFmtId="37" fontId="38" fillId="0" borderId="8" xfId="7" applyNumberFormat="1" applyFont="1" applyFill="1" applyBorder="1" applyAlignment="1">
      <alignment horizontal="center"/>
    </xf>
    <xf numFmtId="37" fontId="7" fillId="0" borderId="1" xfId="0" applyNumberFormat="1" applyFont="1" applyFill="1" applyBorder="1" applyAlignment="1">
      <alignment horizontal="center"/>
    </xf>
    <xf numFmtId="0" fontId="15" fillId="0" borderId="39" xfId="31" applyFont="1" applyFill="1" applyBorder="1" applyAlignment="1">
      <alignment horizontal="center"/>
    </xf>
    <xf numFmtId="0" fontId="15" fillId="0" borderId="38" xfId="31" applyFont="1" applyFill="1" applyBorder="1" applyAlignment="1">
      <alignment horizontal="center"/>
    </xf>
    <xf numFmtId="0" fontId="15" fillId="0" borderId="40" xfId="31" applyFont="1" applyFill="1" applyBorder="1" applyAlignment="1">
      <alignment horizontal="center"/>
    </xf>
    <xf numFmtId="37" fontId="53" fillId="0" borderId="38" xfId="14" quotePrefix="1" applyNumberFormat="1" applyFont="1" applyFill="1" applyBorder="1" applyAlignment="1">
      <alignment horizontal="center" vertical="center" wrapText="1"/>
    </xf>
    <xf numFmtId="0" fontId="15" fillId="0" borderId="29" xfId="31" applyFont="1" applyFill="1" applyBorder="1" applyAlignment="1">
      <alignment horizontal="center"/>
    </xf>
    <xf numFmtId="0" fontId="15" fillId="0" borderId="28" xfId="31" applyFont="1" applyFill="1" applyBorder="1" applyAlignment="1">
      <alignment horizontal="center"/>
    </xf>
    <xf numFmtId="0" fontId="15" fillId="0" borderId="30" xfId="31" applyFont="1" applyFill="1" applyBorder="1" applyAlignment="1">
      <alignment horizontal="center"/>
    </xf>
    <xf numFmtId="0" fontId="7" fillId="0" borderId="29" xfId="31" applyFont="1" applyFill="1" applyBorder="1" applyAlignment="1">
      <alignment horizontal="center"/>
    </xf>
    <xf numFmtId="0" fontId="7" fillId="0" borderId="28" xfId="31" applyFont="1" applyFill="1" applyBorder="1" applyAlignment="1">
      <alignment horizontal="center"/>
    </xf>
    <xf numFmtId="0" fontId="7" fillId="0" borderId="30" xfId="31" applyFont="1" applyFill="1" applyBorder="1" applyAlignment="1">
      <alignment horizontal="center"/>
    </xf>
    <xf numFmtId="37" fontId="15" fillId="0" borderId="1" xfId="26" applyNumberFormat="1" applyFont="1" applyFill="1" applyBorder="1" applyAlignment="1">
      <alignment horizontal="center"/>
    </xf>
    <xf numFmtId="37" fontId="4" fillId="0" borderId="0" xfId="26" applyNumberFormat="1" applyFont="1" applyFill="1" applyAlignment="1">
      <alignment horizontal="left" vertical="top" wrapText="1"/>
    </xf>
    <xf numFmtId="37" fontId="4" fillId="0" borderId="0" xfId="26" applyNumberFormat="1" applyFill="1" applyAlignment="1">
      <alignment horizontal="left" vertical="top" wrapText="1"/>
    </xf>
    <xf numFmtId="0" fontId="38" fillId="0" borderId="35" xfId="14" quotePrefix="1" applyFont="1" applyFill="1" applyBorder="1" applyAlignment="1">
      <alignment horizontal="center" wrapText="1"/>
    </xf>
    <xf numFmtId="0" fontId="38" fillId="0" borderId="2" xfId="14" quotePrefix="1" applyFont="1" applyFill="1" applyBorder="1" applyAlignment="1">
      <alignment horizontal="center" wrapText="1"/>
    </xf>
    <xf numFmtId="0" fontId="38" fillId="0" borderId="46" xfId="14" quotePrefix="1" applyFont="1" applyFill="1" applyBorder="1" applyAlignment="1">
      <alignment horizontal="center" wrapText="1"/>
    </xf>
    <xf numFmtId="0" fontId="31" fillId="0" borderId="12" xfId="14" applyFont="1" applyFill="1" applyBorder="1" applyAlignment="1">
      <alignment horizontal="center" wrapText="1"/>
    </xf>
    <xf numFmtId="0" fontId="31" fillId="0" borderId="13" xfId="14" applyFont="1" applyFill="1" applyBorder="1" applyAlignment="1">
      <alignment horizontal="center" wrapText="1"/>
    </xf>
    <xf numFmtId="0" fontId="31" fillId="0" borderId="14" xfId="14" applyFont="1" applyFill="1" applyBorder="1" applyAlignment="1">
      <alignment horizontal="center" wrapText="1"/>
    </xf>
    <xf numFmtId="0" fontId="31" fillId="0" borderId="15" xfId="14" applyFont="1" applyFill="1" applyBorder="1" applyAlignment="1">
      <alignment horizontal="center" wrapText="1"/>
    </xf>
    <xf numFmtId="0" fontId="38" fillId="0" borderId="12" xfId="14" applyFont="1" applyFill="1" applyBorder="1" applyAlignment="1">
      <alignment horizontal="center" wrapText="1"/>
    </xf>
    <xf numFmtId="0" fontId="38" fillId="0" borderId="1" xfId="14" applyFont="1" applyFill="1" applyBorder="1" applyAlignment="1">
      <alignment horizontal="center" wrapText="1"/>
    </xf>
    <xf numFmtId="0" fontId="38" fillId="0" borderId="13" xfId="14" applyFont="1" applyFill="1" applyBorder="1" applyAlignment="1">
      <alignment horizontal="center" wrapText="1"/>
    </xf>
    <xf numFmtId="0" fontId="40" fillId="0" borderId="0" xfId="14" applyFont="1" applyFill="1" applyBorder="1" applyAlignment="1">
      <alignment horizontal="left" vertical="top" wrapText="1"/>
    </xf>
    <xf numFmtId="0" fontId="29" fillId="0" borderId="0" xfId="14" applyFont="1" applyFill="1" applyBorder="1" applyAlignment="1">
      <alignment horizontal="left" vertical="top" wrapText="1"/>
    </xf>
    <xf numFmtId="37" fontId="7" fillId="0" borderId="8" xfId="17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8" fillId="0" borderId="0" xfId="17" applyFont="1" applyAlignment="1">
      <alignment horizontal="left" wrapText="1"/>
    </xf>
  </cellXfs>
  <cellStyles count="33">
    <cellStyle name="Comma 2" xfId="1"/>
    <cellStyle name="Comma 2 2" xfId="29"/>
    <cellStyle name="Comma 3" xfId="2"/>
    <cellStyle name="Comma 4" xfId="3"/>
    <cellStyle name="Comma 4 2" xfId="4"/>
    <cellStyle name="Comma 5" xfId="5"/>
    <cellStyle name="Comma 6" xfId="6"/>
    <cellStyle name="Comma 6 2" xfId="28"/>
    <cellStyle name="Comma 7" xfId="7"/>
    <cellStyle name="Comma 7 2" xfId="8"/>
    <cellStyle name="Currency 2" xfId="9"/>
    <cellStyle name="Currency 2 2" xfId="10"/>
    <cellStyle name="Currency 3" xfId="11"/>
    <cellStyle name="Currency 3 2" xfId="12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Normal 5" xfId="18"/>
    <cellStyle name="Normal 5 2" xfId="19"/>
    <cellStyle name="Normal 5 2 2" xfId="30"/>
    <cellStyle name="Normal 5 2 3" xfId="31"/>
    <cellStyle name="Normal 5 2 4" xfId="32"/>
    <cellStyle name="Normal 6" xfId="20"/>
    <cellStyle name="Normal 7" xfId="21"/>
    <cellStyle name="Normal 7 2" xfId="22"/>
    <cellStyle name="Normal 8" xfId="26"/>
    <cellStyle name="Normal 8 2" xfId="27"/>
    <cellStyle name="Percent" xfId="23" builtinId="5"/>
    <cellStyle name="Percent 2" xfId="24"/>
    <cellStyle name="Percent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="110" workbookViewId="0">
      <pane xSplit="2" ySplit="6" topLeftCell="C16" activePane="bottomRight" state="frozen"/>
      <selection pane="topRight" activeCell="C1" sqref="C1"/>
      <selection pane="bottomLeft" activeCell="A8" sqref="A8"/>
      <selection pane="bottomRight" activeCell="J11" sqref="J11"/>
    </sheetView>
  </sheetViews>
  <sheetFormatPr defaultColWidth="9.33203125" defaultRowHeight="12.75"/>
  <cols>
    <col min="1" max="1" width="2.33203125" style="1" customWidth="1"/>
    <col min="2" max="2" width="19.83203125" style="1" customWidth="1"/>
    <col min="3" max="3" width="14.83203125" style="1" customWidth="1"/>
    <col min="4" max="4" width="1.83203125" style="1" customWidth="1"/>
    <col min="5" max="5" width="14.83203125" style="1" customWidth="1"/>
    <col min="6" max="6" width="13.33203125" style="1" customWidth="1"/>
    <col min="7" max="7" width="14.83203125" style="1" customWidth="1"/>
    <col min="8" max="8" width="3.83203125" style="8" customWidth="1"/>
    <col min="9" max="9" width="1.83203125" style="8" customWidth="1"/>
    <col min="10" max="10" width="13.6640625" style="1" customWidth="1"/>
    <col min="11" max="11" width="1.83203125" style="1" customWidth="1"/>
    <col min="12" max="12" width="14.33203125" style="1" customWidth="1"/>
    <col min="13" max="13" width="1.83203125" style="1" customWidth="1"/>
    <col min="14" max="14" width="13.6640625" style="1" customWidth="1"/>
    <col min="15" max="15" width="1.83203125" style="1" customWidth="1"/>
    <col min="16" max="16" width="3.83203125" style="8" customWidth="1"/>
    <col min="17" max="18" width="14.83203125" style="1" customWidth="1"/>
    <col min="19" max="19" width="13.33203125" style="1" customWidth="1"/>
    <col min="20" max="20" width="14.83203125" style="1" customWidth="1"/>
    <col min="21" max="21" width="9.33203125" style="1"/>
    <col min="22" max="23" width="15" style="1" bestFit="1" customWidth="1"/>
    <col min="24" max="24" width="14" style="1" bestFit="1" customWidth="1"/>
    <col min="25" max="16384" width="9.33203125" style="1"/>
  </cols>
  <sheetData>
    <row r="1" spans="2:22" ht="18" customHeight="1">
      <c r="B1" s="77" t="s">
        <v>149</v>
      </c>
      <c r="S1" s="78" t="s">
        <v>195</v>
      </c>
    </row>
    <row r="2" spans="2:22" ht="16.5" customHeight="1">
      <c r="B2" s="80"/>
    </row>
    <row r="3" spans="2:22" s="36" customFormat="1" ht="18" customHeight="1" thickBot="1">
      <c r="B3" s="35"/>
      <c r="C3" s="3">
        <v>-1</v>
      </c>
      <c r="D3" s="3"/>
      <c r="E3" s="3">
        <v>-2</v>
      </c>
      <c r="F3" s="3">
        <v>-3</v>
      </c>
      <c r="G3" s="3">
        <v>-4</v>
      </c>
      <c r="H3" s="43"/>
      <c r="I3" s="82"/>
      <c r="J3" s="3">
        <v>-5</v>
      </c>
      <c r="K3" s="3"/>
      <c r="L3" s="3">
        <v>-6</v>
      </c>
      <c r="M3" s="3"/>
      <c r="N3" s="3">
        <v>-7</v>
      </c>
      <c r="O3" s="3"/>
      <c r="P3" s="5"/>
      <c r="Q3" s="3">
        <v>-8</v>
      </c>
      <c r="R3" s="3">
        <v>-9</v>
      </c>
      <c r="S3" s="3">
        <v>-10</v>
      </c>
      <c r="T3" s="3">
        <v>-11</v>
      </c>
    </row>
    <row r="4" spans="2:22" s="4" customFormat="1" ht="18" customHeight="1">
      <c r="C4" s="454" t="s">
        <v>74</v>
      </c>
      <c r="D4" s="454"/>
      <c r="E4" s="454"/>
      <c r="F4" s="454"/>
      <c r="G4" s="454"/>
      <c r="H4" s="44"/>
      <c r="I4" s="455" t="s">
        <v>133</v>
      </c>
      <c r="J4" s="455"/>
      <c r="K4" s="455"/>
      <c r="L4" s="455"/>
      <c r="M4" s="455"/>
      <c r="N4" s="455"/>
      <c r="O4" s="455"/>
      <c r="P4" s="44"/>
      <c r="Q4" s="454" t="s">
        <v>150</v>
      </c>
      <c r="R4" s="454"/>
      <c r="S4" s="454"/>
      <c r="T4" s="454"/>
    </row>
    <row r="5" spans="2:22" s="4" customFormat="1">
      <c r="C5" s="5"/>
      <c r="D5" s="5"/>
      <c r="E5" s="5"/>
      <c r="F5" s="5"/>
      <c r="G5" s="5"/>
      <c r="H5" s="44"/>
      <c r="I5" s="44"/>
      <c r="J5" s="456" t="s">
        <v>117</v>
      </c>
      <c r="K5" s="456"/>
      <c r="L5" s="456"/>
      <c r="M5" s="179"/>
      <c r="N5" s="301" t="s">
        <v>122</v>
      </c>
      <c r="O5" s="136"/>
      <c r="P5" s="44"/>
      <c r="Q5" s="5"/>
      <c r="R5" s="5"/>
      <c r="S5" s="5"/>
      <c r="T5" s="5"/>
    </row>
    <row r="6" spans="2:22" s="14" customFormat="1" ht="57" customHeight="1" thickBot="1">
      <c r="B6" s="13"/>
      <c r="C6" s="85" t="s">
        <v>146</v>
      </c>
      <c r="D6" s="85"/>
      <c r="E6" s="85" t="s">
        <v>135</v>
      </c>
      <c r="F6" s="85" t="s">
        <v>121</v>
      </c>
      <c r="G6" s="13" t="s">
        <v>28</v>
      </c>
      <c r="H6" s="29"/>
      <c r="I6" s="29"/>
      <c r="J6" s="85" t="s">
        <v>118</v>
      </c>
      <c r="K6" s="32"/>
      <c r="L6" s="85" t="s">
        <v>119</v>
      </c>
      <c r="M6" s="32"/>
      <c r="N6" s="85" t="s">
        <v>120</v>
      </c>
      <c r="O6" s="32"/>
      <c r="P6" s="29"/>
      <c r="Q6" s="85" t="s">
        <v>75</v>
      </c>
      <c r="R6" s="85" t="s">
        <v>136</v>
      </c>
      <c r="S6" s="13" t="s">
        <v>38</v>
      </c>
      <c r="T6" s="85" t="s">
        <v>104</v>
      </c>
    </row>
    <row r="7" spans="2:22" s="6" customFormat="1" ht="24">
      <c r="B7" s="15"/>
      <c r="C7" s="15"/>
      <c r="D7" s="15"/>
      <c r="E7" s="15"/>
      <c r="F7" s="15"/>
      <c r="G7" s="16" t="s">
        <v>37</v>
      </c>
      <c r="H7" s="15"/>
      <c r="I7" s="15"/>
      <c r="J7" s="17" t="s">
        <v>115</v>
      </c>
      <c r="K7" s="17"/>
      <c r="L7" s="183" t="s">
        <v>193</v>
      </c>
      <c r="M7" s="17"/>
      <c r="N7" s="17" t="s">
        <v>183</v>
      </c>
      <c r="O7" s="17"/>
      <c r="P7" s="15"/>
      <c r="Q7" s="18" t="s">
        <v>69</v>
      </c>
      <c r="R7" s="18" t="s">
        <v>68</v>
      </c>
      <c r="S7" s="51" t="s">
        <v>129</v>
      </c>
      <c r="T7" s="16" t="s">
        <v>70</v>
      </c>
    </row>
    <row r="8" spans="2:22" ht="9" customHeight="1"/>
    <row r="9" spans="2:22" s="7" customFormat="1">
      <c r="B9" s="9" t="s">
        <v>0</v>
      </c>
      <c r="C9" s="23">
        <v>55175299</v>
      </c>
      <c r="D9" s="23"/>
      <c r="E9" s="224">
        <v>30983000</v>
      </c>
      <c r="F9" s="225">
        <v>2816000</v>
      </c>
      <c r="G9" s="7">
        <f>SUM(C9:F9)</f>
        <v>88974299</v>
      </c>
      <c r="H9" s="9"/>
      <c r="I9" s="9"/>
      <c r="J9" s="7">
        <f>'(B) Base Bud Adj'!L8</f>
        <v>2362690</v>
      </c>
      <c r="L9" s="7">
        <f>'(C) 11-12 Expenditure Adjust.'!R8</f>
        <v>-8796500</v>
      </c>
      <c r="N9" s="7">
        <f>'(D) Tuition Revenue'!AG8</f>
        <v>9293000</v>
      </c>
      <c r="P9" s="9"/>
      <c r="Q9" s="7">
        <f>C9+J9+L9</f>
        <v>48741489</v>
      </c>
      <c r="R9" s="7">
        <f t="shared" ref="R9:R31" si="0">E9+N9</f>
        <v>40276000</v>
      </c>
      <c r="S9" s="7">
        <f>F9</f>
        <v>2816000</v>
      </c>
      <c r="T9" s="7">
        <f>SUM(Q9:S9)</f>
        <v>91833489</v>
      </c>
      <c r="V9" s="1"/>
    </row>
    <row r="10" spans="2:22">
      <c r="B10" s="8" t="s">
        <v>1</v>
      </c>
      <c r="C10" s="22">
        <v>45969040</v>
      </c>
      <c r="D10" s="22"/>
      <c r="E10" s="226">
        <v>16246000</v>
      </c>
      <c r="F10" s="227">
        <v>1240000</v>
      </c>
      <c r="G10" s="1">
        <f>SUM(C10:F10)</f>
        <v>63455040</v>
      </c>
      <c r="J10" s="1">
        <f>'(B) Base Bud Adj'!L9</f>
        <v>2089680</v>
      </c>
      <c r="L10" s="1">
        <f>'(C) 11-12 Expenditure Adjust.'!R9</f>
        <v>-3940400</v>
      </c>
      <c r="N10" s="1">
        <f>'(D) Tuition Revenue'!AG9</f>
        <v>5255000</v>
      </c>
      <c r="Q10" s="1">
        <f>C10+J10+L10</f>
        <v>44118320</v>
      </c>
      <c r="R10" s="1">
        <f t="shared" si="0"/>
        <v>21501000</v>
      </c>
      <c r="S10" s="1">
        <f>F10</f>
        <v>1240000</v>
      </c>
      <c r="T10" s="1">
        <f>SUM(Q10:S10)</f>
        <v>66859320</v>
      </c>
    </row>
    <row r="11" spans="2:22">
      <c r="B11" s="8" t="s">
        <v>2</v>
      </c>
      <c r="C11" s="22">
        <v>102076032</v>
      </c>
      <c r="D11" s="22"/>
      <c r="E11" s="226">
        <v>62886000</v>
      </c>
      <c r="F11" s="227">
        <v>9801000</v>
      </c>
      <c r="G11" s="1">
        <f t="shared" ref="G11:G31" si="1">SUM(C11:F11)</f>
        <v>174763032</v>
      </c>
      <c r="J11" s="1">
        <f>'(B) Base Bud Adj'!L10</f>
        <v>3491390</v>
      </c>
      <c r="L11" s="1">
        <f>'(C) 11-12 Expenditure Adjust.'!R10</f>
        <v>-24237200</v>
      </c>
      <c r="N11" s="1">
        <f>'(D) Tuition Revenue'!AG10</f>
        <v>18638000</v>
      </c>
      <c r="Q11" s="1">
        <f t="shared" ref="Q11:Q31" si="2">C11+J11+L11</f>
        <v>81330222</v>
      </c>
      <c r="R11" s="1">
        <f t="shared" si="0"/>
        <v>81524000</v>
      </c>
      <c r="S11" s="1">
        <f t="shared" ref="S11:S31" si="3">F11</f>
        <v>9801000</v>
      </c>
      <c r="T11" s="1">
        <f>SUM(Q11:S11)</f>
        <v>172655222</v>
      </c>
    </row>
    <row r="12" spans="2:22">
      <c r="B12" s="8" t="s">
        <v>3</v>
      </c>
      <c r="C12" s="22">
        <v>66950742</v>
      </c>
      <c r="D12" s="22"/>
      <c r="E12" s="226">
        <v>50316000</v>
      </c>
      <c r="F12" s="227">
        <v>3458000</v>
      </c>
      <c r="G12" s="1">
        <f t="shared" si="1"/>
        <v>120724742</v>
      </c>
      <c r="J12" s="1">
        <f>'(B) Base Bud Adj'!L11</f>
        <v>3818440</v>
      </c>
      <c r="L12" s="1">
        <f>'(C) 11-12 Expenditure Adjust.'!R11</f>
        <v>-11002300</v>
      </c>
      <c r="N12" s="1">
        <f>'(D) Tuition Revenue'!AG11</f>
        <v>14023000</v>
      </c>
      <c r="Q12" s="1">
        <f t="shared" si="2"/>
        <v>59766882</v>
      </c>
      <c r="R12" s="1">
        <f t="shared" si="0"/>
        <v>64339000</v>
      </c>
      <c r="S12" s="1">
        <f t="shared" si="3"/>
        <v>3458000</v>
      </c>
      <c r="T12" s="1">
        <f t="shared" ref="T12:T31" si="4">SUM(Q12:S12)</f>
        <v>127563882</v>
      </c>
    </row>
    <row r="13" spans="2:22">
      <c r="B13" s="8" t="s">
        <v>29</v>
      </c>
      <c r="C13" s="22">
        <v>77629521</v>
      </c>
      <c r="D13" s="22"/>
      <c r="E13" s="226">
        <v>60513000</v>
      </c>
      <c r="F13" s="227">
        <v>18178000</v>
      </c>
      <c r="G13" s="1">
        <f t="shared" si="1"/>
        <v>156320521</v>
      </c>
      <c r="J13" s="1">
        <f>'(B) Base Bud Adj'!L12</f>
        <v>2608320</v>
      </c>
      <c r="L13" s="1">
        <f>'(C) 11-12 Expenditure Adjust.'!R12</f>
        <v>-16215900</v>
      </c>
      <c r="N13" s="1">
        <f>'(D) Tuition Revenue'!AG12</f>
        <v>17587000</v>
      </c>
      <c r="Q13" s="1">
        <f t="shared" si="2"/>
        <v>64021941</v>
      </c>
      <c r="R13" s="1">
        <f t="shared" si="0"/>
        <v>78100000</v>
      </c>
      <c r="S13" s="1">
        <f t="shared" si="3"/>
        <v>18178000</v>
      </c>
      <c r="T13" s="1">
        <f t="shared" si="4"/>
        <v>160299941</v>
      </c>
    </row>
    <row r="14" spans="2:22">
      <c r="B14" s="8" t="s">
        <v>4</v>
      </c>
      <c r="C14" s="22">
        <v>133844322</v>
      </c>
      <c r="D14" s="22"/>
      <c r="E14" s="226">
        <v>83558000</v>
      </c>
      <c r="F14" s="227">
        <v>11744000</v>
      </c>
      <c r="G14" s="1">
        <f t="shared" si="1"/>
        <v>229146322</v>
      </c>
      <c r="J14" s="1">
        <f>'(B) Base Bud Adj'!L13</f>
        <v>4417700</v>
      </c>
      <c r="L14" s="1">
        <f>'(C) 11-12 Expenditure Adjust.'!R13</f>
        <v>-32338200</v>
      </c>
      <c r="N14" s="1">
        <f>'(D) Tuition Revenue'!AG13</f>
        <v>22613000</v>
      </c>
      <c r="Q14" s="1">
        <f t="shared" si="2"/>
        <v>105923822</v>
      </c>
      <c r="R14" s="1">
        <f t="shared" si="0"/>
        <v>106171000</v>
      </c>
      <c r="S14" s="1">
        <f t="shared" si="3"/>
        <v>11744000</v>
      </c>
      <c r="T14" s="1">
        <f t="shared" si="4"/>
        <v>223838822</v>
      </c>
    </row>
    <row r="15" spans="2:22">
      <c r="B15" s="8" t="s">
        <v>5</v>
      </c>
      <c r="C15" s="22">
        <v>151122657</v>
      </c>
      <c r="D15" s="22"/>
      <c r="E15" s="226">
        <v>141493000</v>
      </c>
      <c r="F15" s="227">
        <v>21712000</v>
      </c>
      <c r="G15" s="1">
        <f t="shared" si="1"/>
        <v>314327657</v>
      </c>
      <c r="J15" s="1">
        <f>'(B) Base Bud Adj'!L14</f>
        <v>12418504</v>
      </c>
      <c r="L15" s="1">
        <f>'(C) 11-12 Expenditure Adjust.'!R14</f>
        <v>-47455200</v>
      </c>
      <c r="N15" s="1">
        <f>'(D) Tuition Revenue'!AG14</f>
        <v>40240000</v>
      </c>
      <c r="Q15" s="1">
        <f t="shared" si="2"/>
        <v>116085961</v>
      </c>
      <c r="R15" s="1">
        <f t="shared" si="0"/>
        <v>181733000</v>
      </c>
      <c r="S15" s="1">
        <f t="shared" si="3"/>
        <v>21712000</v>
      </c>
      <c r="T15" s="1">
        <f t="shared" si="4"/>
        <v>319530961</v>
      </c>
    </row>
    <row r="16" spans="2:22">
      <c r="B16" s="8" t="s">
        <v>6</v>
      </c>
      <c r="C16" s="22">
        <v>69875740</v>
      </c>
      <c r="D16" s="22"/>
      <c r="E16" s="226">
        <v>30954000</v>
      </c>
      <c r="F16" s="227">
        <v>7931000</v>
      </c>
      <c r="G16" s="1">
        <f t="shared" si="1"/>
        <v>108760740</v>
      </c>
      <c r="J16" s="1">
        <f>'(B) Base Bud Adj'!L15</f>
        <v>2420710</v>
      </c>
      <c r="L16" s="1">
        <f>'(C) 11-12 Expenditure Adjust.'!R15</f>
        <v>-12888100</v>
      </c>
      <c r="N16" s="1">
        <f>'(D) Tuition Revenue'!AG15</f>
        <v>8517000</v>
      </c>
      <c r="Q16" s="1">
        <f t="shared" si="2"/>
        <v>59408350</v>
      </c>
      <c r="R16" s="1">
        <f t="shared" si="0"/>
        <v>39471000</v>
      </c>
      <c r="S16" s="1">
        <f t="shared" si="3"/>
        <v>7931000</v>
      </c>
      <c r="T16" s="1">
        <f t="shared" si="4"/>
        <v>106810350</v>
      </c>
    </row>
    <row r="17" spans="2:20">
      <c r="B17" s="8" t="s">
        <v>7</v>
      </c>
      <c r="C17" s="22">
        <v>174152206.16</v>
      </c>
      <c r="D17" s="22"/>
      <c r="E17" s="226">
        <v>141905000</v>
      </c>
      <c r="F17" s="227">
        <v>23075000</v>
      </c>
      <c r="G17" s="1">
        <f t="shared" si="1"/>
        <v>339132206.15999997</v>
      </c>
      <c r="J17" s="1">
        <f>'(B) Base Bud Adj'!L16</f>
        <v>6505930</v>
      </c>
      <c r="L17" s="1">
        <f>'(C) 11-12 Expenditure Adjust.'!R16</f>
        <v>-49263100</v>
      </c>
      <c r="N17" s="1">
        <f>'(D) Tuition Revenue'!AG16</f>
        <v>35764000</v>
      </c>
      <c r="Q17" s="1">
        <f t="shared" si="2"/>
        <v>131395036.16</v>
      </c>
      <c r="R17" s="1">
        <f t="shared" si="0"/>
        <v>177669000</v>
      </c>
      <c r="S17" s="1">
        <f t="shared" si="3"/>
        <v>23075000</v>
      </c>
      <c r="T17" s="1">
        <f t="shared" si="4"/>
        <v>332139036.15999997</v>
      </c>
    </row>
    <row r="18" spans="2:20">
      <c r="B18" s="8" t="s">
        <v>8</v>
      </c>
      <c r="C18" s="22">
        <v>118213089</v>
      </c>
      <c r="D18" s="22"/>
      <c r="E18" s="226">
        <v>82557000</v>
      </c>
      <c r="F18" s="227">
        <v>15315000</v>
      </c>
      <c r="G18" s="1">
        <f t="shared" si="1"/>
        <v>216085089</v>
      </c>
      <c r="J18" s="1">
        <f>'(B) Base Bud Adj'!L17</f>
        <v>3618440</v>
      </c>
      <c r="L18" s="1">
        <f>'(C) 11-12 Expenditure Adjust.'!R17</f>
        <v>-24957400</v>
      </c>
      <c r="N18" s="1">
        <f>'(D) Tuition Revenue'!AG17</f>
        <v>22781000</v>
      </c>
      <c r="Q18" s="1">
        <f t="shared" si="2"/>
        <v>96874129</v>
      </c>
      <c r="R18" s="1">
        <f t="shared" si="0"/>
        <v>105338000</v>
      </c>
      <c r="S18" s="1">
        <f t="shared" si="3"/>
        <v>15315000</v>
      </c>
      <c r="T18" s="1">
        <f t="shared" si="4"/>
        <v>217527129</v>
      </c>
    </row>
    <row r="19" spans="2:20">
      <c r="B19" s="8" t="s">
        <v>9</v>
      </c>
      <c r="C19" s="22">
        <v>19008771</v>
      </c>
      <c r="D19" s="22"/>
      <c r="E19" s="226">
        <v>3177000</v>
      </c>
      <c r="F19" s="227">
        <v>3010000</v>
      </c>
      <c r="G19" s="1">
        <f t="shared" si="1"/>
        <v>25195771</v>
      </c>
      <c r="J19" s="1">
        <f>'(B) Base Bud Adj'!L18</f>
        <v>2294480</v>
      </c>
      <c r="L19" s="1">
        <f>'(C) 11-12 Expenditure Adjust.'!R18</f>
        <v>-195500</v>
      </c>
      <c r="N19" s="1">
        <f>'(D) Tuition Revenue'!AG18</f>
        <v>1012000</v>
      </c>
      <c r="Q19" s="1">
        <f t="shared" si="2"/>
        <v>21107751</v>
      </c>
      <c r="R19" s="1">
        <f t="shared" si="0"/>
        <v>4189000</v>
      </c>
      <c r="S19" s="1">
        <f t="shared" si="3"/>
        <v>3010000</v>
      </c>
      <c r="T19" s="1">
        <f t="shared" si="4"/>
        <v>28306751</v>
      </c>
    </row>
    <row r="20" spans="2:20">
      <c r="B20" s="8" t="s">
        <v>10</v>
      </c>
      <c r="C20" s="22">
        <v>51596253</v>
      </c>
      <c r="D20" s="22"/>
      <c r="E20" s="226">
        <v>17507000</v>
      </c>
      <c r="F20" s="227">
        <v>1560000</v>
      </c>
      <c r="G20" s="1">
        <f t="shared" si="1"/>
        <v>70663253</v>
      </c>
      <c r="J20" s="1">
        <f>'(B) Base Bud Adj'!L19</f>
        <v>5153270</v>
      </c>
      <c r="L20" s="1">
        <f>'(C) 11-12 Expenditure Adjust.'!R19</f>
        <v>-5410100</v>
      </c>
      <c r="N20" s="1">
        <f>'(D) Tuition Revenue'!AG19</f>
        <v>7038000</v>
      </c>
      <c r="Q20" s="1">
        <f t="shared" si="2"/>
        <v>51339423</v>
      </c>
      <c r="R20" s="1">
        <f t="shared" si="0"/>
        <v>24545000</v>
      </c>
      <c r="S20" s="1">
        <f t="shared" si="3"/>
        <v>1560000</v>
      </c>
      <c r="T20" s="1">
        <f t="shared" si="4"/>
        <v>77444423</v>
      </c>
    </row>
    <row r="21" spans="2:20">
      <c r="B21" s="8" t="s">
        <v>11</v>
      </c>
      <c r="C21" s="22">
        <v>166726076</v>
      </c>
      <c r="D21" s="22"/>
      <c r="E21" s="226">
        <v>138150000</v>
      </c>
      <c r="F21" s="227">
        <v>32123000</v>
      </c>
      <c r="G21" s="1">
        <f t="shared" si="1"/>
        <v>336999076</v>
      </c>
      <c r="J21" s="1">
        <f>'(B) Base Bud Adj'!L20</f>
        <v>10849570</v>
      </c>
      <c r="L21" s="1">
        <f>'(C) 11-12 Expenditure Adjust.'!R20</f>
        <v>-46230300</v>
      </c>
      <c r="N21" s="1">
        <f>'(D) Tuition Revenue'!AG20</f>
        <v>40715000</v>
      </c>
      <c r="Q21" s="1">
        <f t="shared" si="2"/>
        <v>131345346</v>
      </c>
      <c r="R21" s="1">
        <f t="shared" si="0"/>
        <v>178865000</v>
      </c>
      <c r="S21" s="1">
        <f t="shared" si="3"/>
        <v>32123000</v>
      </c>
      <c r="T21" s="1">
        <f t="shared" si="4"/>
        <v>342333346</v>
      </c>
    </row>
    <row r="22" spans="2:20">
      <c r="B22" s="8" t="s">
        <v>12</v>
      </c>
      <c r="C22" s="22">
        <v>124212192</v>
      </c>
      <c r="D22" s="22"/>
      <c r="E22" s="226">
        <v>79609000</v>
      </c>
      <c r="F22" s="227">
        <v>11953000</v>
      </c>
      <c r="G22" s="1">
        <f t="shared" si="1"/>
        <v>215774192</v>
      </c>
      <c r="J22" s="1">
        <f>'(B) Base Bud Adj'!L21</f>
        <v>4022770</v>
      </c>
      <c r="L22" s="1">
        <f>'(C) 11-12 Expenditure Adjust.'!R21</f>
        <v>-31590900</v>
      </c>
      <c r="N22" s="1">
        <f>'(D) Tuition Revenue'!AG21</f>
        <v>23962000</v>
      </c>
      <c r="Q22" s="1">
        <f t="shared" si="2"/>
        <v>96644062</v>
      </c>
      <c r="R22" s="1">
        <f t="shared" si="0"/>
        <v>103571000</v>
      </c>
      <c r="S22" s="1">
        <f t="shared" si="3"/>
        <v>11953000</v>
      </c>
      <c r="T22" s="1">
        <f t="shared" si="4"/>
        <v>212168062</v>
      </c>
    </row>
    <row r="23" spans="2:20">
      <c r="B23" s="8" t="s">
        <v>13</v>
      </c>
      <c r="C23" s="22">
        <v>140795817</v>
      </c>
      <c r="D23" s="22"/>
      <c r="E23" s="226">
        <v>107084000</v>
      </c>
      <c r="F23" s="227">
        <v>15022000</v>
      </c>
      <c r="G23" s="1">
        <f t="shared" si="1"/>
        <v>262901817</v>
      </c>
      <c r="J23" s="1">
        <f>'(B) Base Bud Adj'!L22</f>
        <v>2568060</v>
      </c>
      <c r="L23" s="1">
        <f>'(C) 11-12 Expenditure Adjust.'!R22</f>
        <v>-35937200</v>
      </c>
      <c r="N23" s="1">
        <f>'(D) Tuition Revenue'!AG22</f>
        <v>27286000</v>
      </c>
      <c r="Q23" s="1">
        <f t="shared" si="2"/>
        <v>107426677</v>
      </c>
      <c r="R23" s="1">
        <f t="shared" si="0"/>
        <v>134370000</v>
      </c>
      <c r="S23" s="1">
        <f t="shared" si="3"/>
        <v>15022000</v>
      </c>
      <c r="T23" s="1">
        <f t="shared" si="4"/>
        <v>256818677</v>
      </c>
    </row>
    <row r="24" spans="2:20">
      <c r="B24" s="8" t="s">
        <v>14</v>
      </c>
      <c r="C24" s="22">
        <v>94053498</v>
      </c>
      <c r="D24" s="22"/>
      <c r="E24" s="226">
        <v>69050000</v>
      </c>
      <c r="F24" s="227">
        <v>11695000</v>
      </c>
      <c r="G24" s="1">
        <f t="shared" si="1"/>
        <v>174798498</v>
      </c>
      <c r="J24" s="1">
        <f>'(B) Base Bud Adj'!L23</f>
        <v>2796780</v>
      </c>
      <c r="L24" s="1">
        <f>'(C) 11-12 Expenditure Adjust.'!R23</f>
        <v>-21073400</v>
      </c>
      <c r="N24" s="1">
        <f>'(D) Tuition Revenue'!AG23</f>
        <v>18149000</v>
      </c>
      <c r="Q24" s="1">
        <f t="shared" si="2"/>
        <v>75776878</v>
      </c>
      <c r="R24" s="1">
        <f t="shared" si="0"/>
        <v>87199000</v>
      </c>
      <c r="S24" s="1">
        <f t="shared" si="3"/>
        <v>11695000</v>
      </c>
      <c r="T24" s="1">
        <f t="shared" si="4"/>
        <v>174670878</v>
      </c>
    </row>
    <row r="25" spans="2:20">
      <c r="B25" s="8" t="s">
        <v>15</v>
      </c>
      <c r="C25" s="22">
        <v>185949676</v>
      </c>
      <c r="D25" s="22"/>
      <c r="E25" s="226">
        <v>134423000</v>
      </c>
      <c r="F25" s="227">
        <v>31552000</v>
      </c>
      <c r="G25" s="1">
        <f t="shared" si="1"/>
        <v>351924676</v>
      </c>
      <c r="J25" s="1">
        <f>'(B) Base Bud Adj'!L24</f>
        <v>-2024730</v>
      </c>
      <c r="L25" s="1">
        <f>'(C) 11-12 Expenditure Adjust.'!R24</f>
        <v>-49983700</v>
      </c>
      <c r="N25" s="1">
        <f>'(D) Tuition Revenue'!AG24</f>
        <v>29638000</v>
      </c>
      <c r="Q25" s="1">
        <f t="shared" si="2"/>
        <v>133941246</v>
      </c>
      <c r="R25" s="1">
        <f t="shared" si="0"/>
        <v>164061000</v>
      </c>
      <c r="S25" s="1">
        <f t="shared" si="3"/>
        <v>31552000</v>
      </c>
      <c r="T25" s="1">
        <f t="shared" si="4"/>
        <v>329554246</v>
      </c>
    </row>
    <row r="26" spans="2:20">
      <c r="B26" s="8" t="s">
        <v>16</v>
      </c>
      <c r="C26" s="22">
        <v>143863789</v>
      </c>
      <c r="D26" s="22"/>
      <c r="E26" s="226">
        <v>117100000</v>
      </c>
      <c r="F26" s="227">
        <v>30831000</v>
      </c>
      <c r="G26" s="1">
        <f t="shared" si="1"/>
        <v>291794789</v>
      </c>
      <c r="J26" s="1">
        <f>'(B) Base Bud Adj'!L25</f>
        <v>8600750</v>
      </c>
      <c r="L26" s="1">
        <f>'(C) 11-12 Expenditure Adjust.'!R25</f>
        <v>-40677100</v>
      </c>
      <c r="N26" s="1">
        <f>'(D) Tuition Revenue'!AG25</f>
        <v>32772000</v>
      </c>
      <c r="Q26" s="1">
        <f t="shared" si="2"/>
        <v>111787439</v>
      </c>
      <c r="R26" s="1">
        <f t="shared" si="0"/>
        <v>149872000</v>
      </c>
      <c r="S26" s="1">
        <f t="shared" si="3"/>
        <v>30831000</v>
      </c>
      <c r="T26" s="1">
        <f t="shared" si="4"/>
        <v>292490439</v>
      </c>
    </row>
    <row r="27" spans="2:20">
      <c r="B27" s="8" t="s">
        <v>17</v>
      </c>
      <c r="C27" s="22">
        <v>140513822</v>
      </c>
      <c r="D27" s="22"/>
      <c r="E27" s="226">
        <v>116456000</v>
      </c>
      <c r="F27" s="227">
        <v>24756000</v>
      </c>
      <c r="G27" s="1">
        <f t="shared" si="1"/>
        <v>281725822</v>
      </c>
      <c r="J27" s="1">
        <f>'(B) Base Bud Adj'!L26</f>
        <v>2130500</v>
      </c>
      <c r="L27" s="1">
        <f>'(C) 11-12 Expenditure Adjust.'!R26</f>
        <v>-41531200</v>
      </c>
      <c r="N27" s="1">
        <f>'(D) Tuition Revenue'!AG26</f>
        <v>30532000</v>
      </c>
      <c r="Q27" s="1">
        <f t="shared" si="2"/>
        <v>101113122</v>
      </c>
      <c r="R27" s="1">
        <f t="shared" si="0"/>
        <v>146988000</v>
      </c>
      <c r="S27" s="1">
        <f t="shared" si="3"/>
        <v>24756000</v>
      </c>
      <c r="T27" s="1">
        <f t="shared" si="4"/>
        <v>272857122</v>
      </c>
    </row>
    <row r="28" spans="2:20">
      <c r="B28" s="8" t="s">
        <v>18</v>
      </c>
      <c r="C28" s="22">
        <v>124855198</v>
      </c>
      <c r="D28" s="22"/>
      <c r="E28" s="226">
        <v>74889000</v>
      </c>
      <c r="F28" s="227">
        <v>28540000</v>
      </c>
      <c r="G28" s="1">
        <f t="shared" si="1"/>
        <v>228284198</v>
      </c>
      <c r="J28" s="1">
        <f>'(B) Base Bud Adj'!L27</f>
        <v>-1031760</v>
      </c>
      <c r="L28" s="1">
        <f>'(C) 11-12 Expenditure Adjust.'!R27</f>
        <v>-34280000</v>
      </c>
      <c r="N28" s="1">
        <f>'(D) Tuition Revenue'!AG27</f>
        <v>15260000</v>
      </c>
      <c r="Q28" s="1">
        <f t="shared" si="2"/>
        <v>89543438</v>
      </c>
      <c r="R28" s="1">
        <f t="shared" si="0"/>
        <v>90149000</v>
      </c>
      <c r="S28" s="1">
        <f t="shared" si="3"/>
        <v>28540000</v>
      </c>
      <c r="T28" s="1">
        <f t="shared" si="4"/>
        <v>208232438</v>
      </c>
    </row>
    <row r="29" spans="2:20">
      <c r="B29" s="8" t="s">
        <v>19</v>
      </c>
      <c r="C29" s="22">
        <v>60198542</v>
      </c>
      <c r="D29" s="22"/>
      <c r="E29" s="226">
        <v>36053000</v>
      </c>
      <c r="F29" s="227">
        <v>5570000</v>
      </c>
      <c r="G29" s="1">
        <f t="shared" si="1"/>
        <v>101821542</v>
      </c>
      <c r="J29" s="1">
        <f>'(B) Base Bud Adj'!L28</f>
        <v>3586640</v>
      </c>
      <c r="L29" s="1">
        <f>'(C) 11-12 Expenditure Adjust.'!R28</f>
        <v>-11951700</v>
      </c>
      <c r="N29" s="1">
        <f>'(D) Tuition Revenue'!AG28</f>
        <v>13528000</v>
      </c>
      <c r="Q29" s="1">
        <f t="shared" si="2"/>
        <v>51833482</v>
      </c>
      <c r="R29" s="1">
        <f t="shared" si="0"/>
        <v>49581000</v>
      </c>
      <c r="S29" s="1">
        <f t="shared" si="3"/>
        <v>5570000</v>
      </c>
      <c r="T29" s="1">
        <f t="shared" si="4"/>
        <v>106984482</v>
      </c>
    </row>
    <row r="30" spans="2:20">
      <c r="B30" s="8" t="s">
        <v>20</v>
      </c>
      <c r="C30" s="22">
        <v>56137723</v>
      </c>
      <c r="D30" s="22"/>
      <c r="E30" s="226">
        <v>33212000</v>
      </c>
      <c r="F30" s="227">
        <v>4094000</v>
      </c>
      <c r="G30" s="1">
        <f t="shared" si="1"/>
        <v>93443723</v>
      </c>
      <c r="J30" s="1">
        <f>'(B) Base Bud Adj'!L29</f>
        <v>2352300</v>
      </c>
      <c r="L30" s="1">
        <f>'(C) 11-12 Expenditure Adjust.'!R29</f>
        <v>-12178600</v>
      </c>
      <c r="N30" s="1">
        <f>'(D) Tuition Revenue'!AG29</f>
        <v>10465000</v>
      </c>
      <c r="Q30" s="1">
        <f t="shared" si="2"/>
        <v>46311423</v>
      </c>
      <c r="R30" s="1">
        <f t="shared" si="0"/>
        <v>43677000</v>
      </c>
      <c r="S30" s="1">
        <f>F30</f>
        <v>4094000</v>
      </c>
      <c r="T30" s="1">
        <f t="shared" si="4"/>
        <v>94082423</v>
      </c>
    </row>
    <row r="31" spans="2:20">
      <c r="B31" s="8" t="s">
        <v>21</v>
      </c>
      <c r="C31" s="22">
        <v>56514337</v>
      </c>
      <c r="D31" s="22"/>
      <c r="E31" s="226">
        <v>33369000</v>
      </c>
      <c r="F31" s="227">
        <v>4234000</v>
      </c>
      <c r="G31" s="1">
        <f t="shared" si="1"/>
        <v>94117337</v>
      </c>
      <c r="J31" s="1">
        <f>'(B) Base Bud Adj'!L30</f>
        <v>-261040</v>
      </c>
      <c r="L31" s="1">
        <f>'(C) 11-12 Expenditure Adjust.'!R30</f>
        <v>-9701000</v>
      </c>
      <c r="N31" s="1">
        <f>'(D) Tuition Revenue'!AG30</f>
        <v>6370000</v>
      </c>
      <c r="Q31" s="1">
        <f t="shared" si="2"/>
        <v>46552297</v>
      </c>
      <c r="R31" s="1">
        <f t="shared" si="0"/>
        <v>39739000</v>
      </c>
      <c r="S31" s="1">
        <f t="shared" si="3"/>
        <v>4234000</v>
      </c>
      <c r="T31" s="1">
        <f t="shared" si="4"/>
        <v>90525297</v>
      </c>
    </row>
    <row r="32" spans="2:20" ht="9" customHeight="1"/>
    <row r="33" spans="1:24" s="7" customFormat="1" ht="15" customHeight="1">
      <c r="B33" s="11" t="s">
        <v>22</v>
      </c>
      <c r="C33" s="11">
        <f>SUM(C9:C32)</f>
        <v>2359434342.1599998</v>
      </c>
      <c r="D33" s="11"/>
      <c r="E33" s="11">
        <f>SUM(E9:E32)</f>
        <v>1661490000</v>
      </c>
      <c r="F33" s="11">
        <f>SUM(F9:F31)</f>
        <v>320210000</v>
      </c>
      <c r="G33" s="11">
        <f>SUM(G9:G32)</f>
        <v>4341134342.1599998</v>
      </c>
      <c r="H33" s="9"/>
      <c r="I33" s="9"/>
      <c r="J33" s="11">
        <f>SUM(J9:J32)</f>
        <v>84789394</v>
      </c>
      <c r="K33" s="11"/>
      <c r="L33" s="11">
        <f>SUM(L9:L32)</f>
        <v>-571835000</v>
      </c>
      <c r="M33" s="11"/>
      <c r="N33" s="11">
        <f>SUM(N9:N32)</f>
        <v>451438000</v>
      </c>
      <c r="O33" s="11"/>
      <c r="P33" s="9"/>
      <c r="Q33" s="11">
        <f>SUM(Q9:Q32)</f>
        <v>1872388736.1599998</v>
      </c>
      <c r="R33" s="11">
        <f>SUM(R9:R32)</f>
        <v>2112928000</v>
      </c>
      <c r="S33" s="11">
        <f>SUM(S9:S32)</f>
        <v>320210000</v>
      </c>
      <c r="T33" s="11">
        <f>SUM(T9:T32)</f>
        <v>4305526736.1599998</v>
      </c>
      <c r="V33" s="1"/>
      <c r="W33" s="1"/>
      <c r="X33" s="1"/>
    </row>
    <row r="34" spans="1:24" ht="9" customHeight="1"/>
    <row r="35" spans="1:24" ht="12.75" customHeight="1">
      <c r="B35" s="1" t="s">
        <v>23</v>
      </c>
      <c r="C35" s="1">
        <v>74466672</v>
      </c>
      <c r="E35" s="1">
        <v>0</v>
      </c>
      <c r="F35" s="1">
        <v>0</v>
      </c>
      <c r="G35" s="1">
        <f>SUM(C35:F35)</f>
        <v>74466672</v>
      </c>
      <c r="J35" s="1">
        <f>'(B) Base Bud Adj'!L34</f>
        <v>804130</v>
      </c>
      <c r="L35" s="1">
        <f>'(C) 11-12 Expenditure Adjust.'!R34</f>
        <v>-10837000</v>
      </c>
      <c r="N35" s="1">
        <f>'(D) Tuition Revenue'!AG34</f>
        <v>0</v>
      </c>
      <c r="Q35" s="1">
        <f>C35+J35+L35</f>
        <v>64433802</v>
      </c>
      <c r="R35" s="1">
        <f>E35+N35</f>
        <v>0</v>
      </c>
      <c r="S35" s="1">
        <f>F35</f>
        <v>0</v>
      </c>
      <c r="T35" s="1">
        <f>SUM(Q35:S35)</f>
        <v>64433802</v>
      </c>
    </row>
    <row r="36" spans="1:24" ht="12.75" customHeight="1">
      <c r="B36" s="10" t="s">
        <v>30</v>
      </c>
      <c r="C36" s="1">
        <v>1063735</v>
      </c>
      <c r="E36" s="1">
        <v>0</v>
      </c>
      <c r="F36" s="1">
        <v>0</v>
      </c>
      <c r="G36" s="1">
        <f>SUM(C36:F36)</f>
        <v>1063735</v>
      </c>
      <c r="J36" s="1">
        <f>'(B) Base Bud Adj'!L35</f>
        <v>-82000</v>
      </c>
      <c r="L36" s="1">
        <f>'(C) 11-12 Expenditure Adjust.'!R35</f>
        <v>0</v>
      </c>
      <c r="N36" s="1">
        <f>'(D) Tuition Revenue'!AG35</f>
        <v>733000</v>
      </c>
      <c r="Q36" s="1">
        <f t="shared" ref="Q36:Q39" si="5">C36+J36+L36</f>
        <v>981735</v>
      </c>
      <c r="R36" s="1">
        <f>E36+N36</f>
        <v>733000</v>
      </c>
      <c r="S36" s="1">
        <f>F36</f>
        <v>0</v>
      </c>
      <c r="T36" s="1">
        <f>SUM(Q36:S36)</f>
        <v>1714735</v>
      </c>
    </row>
    <row r="37" spans="1:24" ht="12.75" customHeight="1">
      <c r="B37" s="1" t="s">
        <v>24</v>
      </c>
      <c r="C37" s="1">
        <v>2414496</v>
      </c>
      <c r="E37" s="228">
        <v>2574000</v>
      </c>
      <c r="F37" s="1">
        <v>0</v>
      </c>
      <c r="G37" s="1">
        <f>SUM(C37:F37)</f>
        <v>4988496</v>
      </c>
      <c r="J37" s="1">
        <f>'(B) Base Bud Adj'!L36</f>
        <v>-145000</v>
      </c>
      <c r="L37" s="1">
        <f>'(C) 11-12 Expenditure Adjust.'!R36</f>
        <v>0</v>
      </c>
      <c r="N37" s="1">
        <f>'(D) Tuition Revenue'!AG36</f>
        <v>198000</v>
      </c>
      <c r="Q37" s="1">
        <f t="shared" si="5"/>
        <v>2269496</v>
      </c>
      <c r="R37" s="1">
        <f>E37+N37</f>
        <v>2772000</v>
      </c>
      <c r="S37" s="1">
        <f>F37</f>
        <v>0</v>
      </c>
      <c r="T37" s="1">
        <f>SUM(Q37:S37)</f>
        <v>5041496</v>
      </c>
    </row>
    <row r="38" spans="1:24" ht="12.75" customHeight="1">
      <c r="B38" s="1" t="s">
        <v>25</v>
      </c>
      <c r="C38" s="1">
        <v>57800</v>
      </c>
      <c r="E38" s="1">
        <v>0</v>
      </c>
      <c r="F38" s="1">
        <v>0</v>
      </c>
      <c r="G38" s="1">
        <f>SUM(C38:F38)</f>
        <v>57800</v>
      </c>
      <c r="J38" s="1">
        <f>'(B) Base Bud Adj'!L37</f>
        <v>0</v>
      </c>
      <c r="L38" s="1">
        <f>'(C) 11-12 Expenditure Adjust.'!R37</f>
        <v>0</v>
      </c>
      <c r="N38" s="1">
        <f>'(D) Tuition Revenue'!AG37</f>
        <v>57000</v>
      </c>
      <c r="Q38" s="1">
        <f t="shared" si="5"/>
        <v>57800</v>
      </c>
      <c r="R38" s="1">
        <f>E38+N38</f>
        <v>57000</v>
      </c>
      <c r="S38" s="1">
        <f>F38</f>
        <v>0</v>
      </c>
      <c r="T38" s="1">
        <f>SUM(Q38:S38)</f>
        <v>114800</v>
      </c>
    </row>
    <row r="39" spans="1:24" ht="17.25" customHeight="1">
      <c r="B39" s="1" t="s">
        <v>26</v>
      </c>
      <c r="C39" s="1">
        <f>286550824-106552869+106552869</f>
        <v>286550824</v>
      </c>
      <c r="D39" s="231">
        <v>1</v>
      </c>
      <c r="E39" s="1">
        <v>0</v>
      </c>
      <c r="F39" s="314">
        <v>1000</v>
      </c>
      <c r="G39" s="1">
        <f>SUM(C39:F39)</f>
        <v>286551825</v>
      </c>
      <c r="J39" s="1">
        <f>'(B) Base Bud Adj'!L38</f>
        <v>-18081393</v>
      </c>
      <c r="L39" s="1">
        <f>'(C) 11-12 Expenditure Adjust.'!R38</f>
        <v>-67328000</v>
      </c>
      <c r="N39" s="1">
        <f>'(D) Tuition Revenue'!AG38</f>
        <v>0</v>
      </c>
      <c r="P39" s="58"/>
      <c r="Q39" s="1">
        <f t="shared" si="5"/>
        <v>201141431</v>
      </c>
      <c r="R39" s="1">
        <f>E39+N39</f>
        <v>0</v>
      </c>
      <c r="S39" s="1">
        <f>F39</f>
        <v>1000</v>
      </c>
      <c r="T39" s="1">
        <f>SUM(Q39:S39)</f>
        <v>201142431</v>
      </c>
    </row>
    <row r="40" spans="1:24" ht="9" customHeight="1"/>
    <row r="41" spans="1:24" s="7" customFormat="1" ht="15" customHeight="1" thickBot="1">
      <c r="B41" s="12" t="s">
        <v>27</v>
      </c>
      <c r="C41" s="12">
        <f>SUM(C33:C39)</f>
        <v>2723987869.1599998</v>
      </c>
      <c r="D41" s="12"/>
      <c r="E41" s="12">
        <f>SUM(E33:E39)</f>
        <v>1664064000</v>
      </c>
      <c r="F41" s="12">
        <f>SUM(F33:F39)</f>
        <v>320211000</v>
      </c>
      <c r="G41" s="12">
        <f>SUM(G33:G39)</f>
        <v>4708262870.1599998</v>
      </c>
      <c r="H41" s="9"/>
      <c r="I41" s="9"/>
      <c r="J41" s="19">
        <f>SUM(J33:J39)</f>
        <v>67285131</v>
      </c>
      <c r="K41" s="19"/>
      <c r="L41" s="19">
        <f>SUM(L33:L39)</f>
        <v>-650000000</v>
      </c>
      <c r="M41" s="19"/>
      <c r="N41" s="19">
        <f>SUM(N33:N39)</f>
        <v>452426000</v>
      </c>
      <c r="O41" s="19"/>
      <c r="P41" s="9"/>
      <c r="Q41" s="12">
        <f>SUM(Q33:Q39)</f>
        <v>2141273000.1599998</v>
      </c>
      <c r="R41" s="12">
        <f>SUM(R33:R39)</f>
        <v>2116490000</v>
      </c>
      <c r="S41" s="12">
        <f>SUM(S33:S39)</f>
        <v>320211000</v>
      </c>
      <c r="T41" s="12">
        <f>SUM(T33:T39)</f>
        <v>4577974000.1599998</v>
      </c>
    </row>
    <row r="43" spans="1:24" ht="18">
      <c r="A43" s="52">
        <v>1</v>
      </c>
      <c r="B43" s="26" t="s">
        <v>147</v>
      </c>
      <c r="C43" s="24"/>
      <c r="D43" s="24"/>
    </row>
    <row r="44" spans="1:24" ht="18">
      <c r="A44" s="52">
        <v>2</v>
      </c>
      <c r="B44" s="37" t="s">
        <v>137</v>
      </c>
    </row>
    <row r="45" spans="1:24">
      <c r="E45" s="24"/>
      <c r="F45" s="24"/>
      <c r="G45" s="24"/>
      <c r="H45" s="53"/>
      <c r="I45" s="53"/>
      <c r="J45" s="54"/>
      <c r="K45" s="54"/>
      <c r="L45" s="54"/>
      <c r="M45" s="54"/>
      <c r="N45" s="54"/>
      <c r="O45" s="54"/>
      <c r="P45" s="53"/>
      <c r="Q45" s="24"/>
      <c r="R45" s="24"/>
      <c r="S45" s="24"/>
      <c r="T45" s="24"/>
    </row>
    <row r="46" spans="1:24" ht="18" customHeight="1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51" spans="17:17">
      <c r="Q51" s="61"/>
    </row>
  </sheetData>
  <mergeCells count="4">
    <mergeCell ref="C4:G4"/>
    <mergeCell ref="Q4:T4"/>
    <mergeCell ref="I4:O4"/>
    <mergeCell ref="J5:L5"/>
  </mergeCells>
  <phoneticPr fontId="0" type="noConversion"/>
  <printOptions horizontalCentered="1"/>
  <pageMargins left="0.25" right="0.25" top="0.5" bottom="0.25" header="0.5" footer="0.5"/>
  <pageSetup paperSize="5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workbookViewId="0">
      <pane xSplit="1" ySplit="5" topLeftCell="B18" activePane="bottomRight" state="frozen"/>
      <selection pane="topRight" activeCell="C1" sqref="C1"/>
      <selection pane="bottomLeft" activeCell="A4" sqref="A4"/>
      <selection pane="bottomRight" activeCell="F45" sqref="F45"/>
    </sheetView>
  </sheetViews>
  <sheetFormatPr defaultColWidth="9.33203125" defaultRowHeight="12.75"/>
  <cols>
    <col min="1" max="1" width="24.5" style="227" customWidth="1"/>
    <col min="2" max="2" width="16.33203125" style="227" customWidth="1"/>
    <col min="3" max="3" width="1.83203125" style="227" customWidth="1"/>
    <col min="4" max="4" width="13.1640625" style="236" customWidth="1"/>
    <col min="5" max="5" width="1.83203125" style="236" customWidth="1"/>
    <col min="6" max="6" width="12.83203125" style="236" customWidth="1"/>
    <col min="7" max="7" width="1.83203125" style="236" customWidth="1"/>
    <col min="8" max="8" width="15.33203125" style="236" customWidth="1"/>
    <col min="9" max="9" width="1.83203125" style="236" customWidth="1"/>
    <col min="10" max="10" width="16.83203125" style="236" customWidth="1"/>
    <col min="11" max="11" width="2.33203125" style="236" customWidth="1"/>
    <col min="12" max="12" width="13.83203125" style="236" customWidth="1"/>
    <col min="13" max="13" width="2.33203125" style="236" customWidth="1"/>
    <col min="14" max="14" width="16.1640625" style="236" customWidth="1"/>
    <col min="15" max="15" width="15" style="236" customWidth="1"/>
    <col min="16" max="16" width="5.83203125" style="236" customWidth="1"/>
    <col min="17" max="17" width="13.83203125" style="227" customWidth="1"/>
    <col min="18" max="20" width="12.83203125" style="227" customWidth="1"/>
    <col min="21" max="21" width="2.33203125" style="227" customWidth="1"/>
    <col min="22" max="22" width="13.83203125" style="227" customWidth="1"/>
    <col min="23" max="16384" width="9.33203125" style="227"/>
  </cols>
  <sheetData>
    <row r="1" spans="1:22" ht="16.5">
      <c r="A1" s="50" t="s">
        <v>151</v>
      </c>
      <c r="B1" s="2"/>
      <c r="C1" s="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"/>
    </row>
    <row r="2" spans="1:22" ht="18.75">
      <c r="A2" s="80"/>
      <c r="B2" s="2"/>
      <c r="C2" s="2"/>
      <c r="D2" s="232"/>
      <c r="E2" s="232"/>
      <c r="F2" s="232"/>
      <c r="G2" s="232"/>
      <c r="H2" s="232"/>
      <c r="I2" s="232"/>
      <c r="J2" s="232"/>
      <c r="K2" s="232"/>
      <c r="L2" s="323"/>
      <c r="M2" s="232"/>
      <c r="N2" s="232"/>
      <c r="O2" s="232"/>
      <c r="P2" s="232"/>
      <c r="Q2" s="2" t="s">
        <v>134</v>
      </c>
    </row>
    <row r="3" spans="1:22" s="55" customFormat="1" ht="14.25">
      <c r="B3" s="56">
        <f>-1</f>
        <v>-1</v>
      </c>
      <c r="D3" s="56">
        <v>-2</v>
      </c>
      <c r="E3" s="56"/>
      <c r="F3" s="57">
        <f>-3</f>
        <v>-3</v>
      </c>
      <c r="G3" s="57"/>
      <c r="H3" s="57">
        <f>-4</f>
        <v>-4</v>
      </c>
      <c r="I3" s="57"/>
      <c r="J3" s="56">
        <f>-5</f>
        <v>-5</v>
      </c>
      <c r="K3" s="56"/>
      <c r="L3" s="57">
        <v>-6</v>
      </c>
      <c r="M3" s="56"/>
      <c r="N3" s="57">
        <v>-7</v>
      </c>
      <c r="Q3" s="293" t="s">
        <v>108</v>
      </c>
      <c r="R3" s="293" t="s">
        <v>109</v>
      </c>
      <c r="S3" s="293" t="s">
        <v>110</v>
      </c>
      <c r="T3" s="293" t="s">
        <v>111</v>
      </c>
      <c r="U3" s="292"/>
      <c r="V3" s="292"/>
    </row>
    <row r="4" spans="1:22" s="20" customFormat="1" ht="6" customHeight="1">
      <c r="B4" s="25"/>
      <c r="D4" s="25"/>
      <c r="E4" s="25"/>
      <c r="F4" s="21"/>
      <c r="G4" s="21"/>
      <c r="H4" s="21"/>
      <c r="I4" s="21"/>
      <c r="J4" s="21"/>
      <c r="K4" s="25"/>
      <c r="L4" s="25"/>
      <c r="M4" s="25"/>
      <c r="N4" s="25"/>
      <c r="Q4" s="300"/>
      <c r="R4" s="300"/>
      <c r="S4" s="300"/>
      <c r="T4" s="300"/>
      <c r="U4" s="300"/>
      <c r="V4" s="300"/>
    </row>
    <row r="5" spans="1:22" s="233" customFormat="1" ht="76.5">
      <c r="A5" s="137"/>
      <c r="B5" s="306" t="s">
        <v>76</v>
      </c>
      <c r="C5" s="137"/>
      <c r="D5" s="137" t="s">
        <v>96</v>
      </c>
      <c r="E5" s="137"/>
      <c r="F5" s="137" t="s">
        <v>102</v>
      </c>
      <c r="G5" s="137"/>
      <c r="H5" s="137" t="s">
        <v>95</v>
      </c>
      <c r="I5" s="137"/>
      <c r="J5" s="137" t="s">
        <v>98</v>
      </c>
      <c r="K5" s="27"/>
      <c r="L5" s="30" t="s">
        <v>144</v>
      </c>
      <c r="M5" s="27"/>
      <c r="N5" s="30" t="s">
        <v>123</v>
      </c>
      <c r="Q5" s="285" t="s">
        <v>32</v>
      </c>
      <c r="R5" s="278" t="s">
        <v>77</v>
      </c>
      <c r="S5" s="278" t="s">
        <v>31</v>
      </c>
      <c r="T5" s="278" t="s">
        <v>107</v>
      </c>
      <c r="U5" s="278"/>
      <c r="V5" s="245" t="s">
        <v>106</v>
      </c>
    </row>
    <row r="6" spans="1:22" s="249" customFormat="1" ht="26.45" customHeight="1">
      <c r="A6" s="246"/>
      <c r="B6" s="307"/>
      <c r="C6" s="246"/>
      <c r="D6" s="318"/>
      <c r="E6" s="246"/>
      <c r="F6" s="248"/>
      <c r="G6" s="248"/>
      <c r="H6" s="248"/>
      <c r="I6" s="248"/>
      <c r="J6" s="248" t="s">
        <v>97</v>
      </c>
      <c r="K6" s="248"/>
      <c r="L6" s="247" t="s">
        <v>114</v>
      </c>
      <c r="M6" s="248"/>
      <c r="N6" s="247" t="s">
        <v>124</v>
      </c>
      <c r="Q6" s="286"/>
      <c r="R6" s="254"/>
      <c r="S6" s="254"/>
      <c r="T6" s="254"/>
      <c r="U6" s="254"/>
      <c r="V6" s="247" t="s">
        <v>112</v>
      </c>
    </row>
    <row r="7" spans="1:22" ht="8.25" customHeight="1">
      <c r="A7" s="234"/>
      <c r="B7" s="308"/>
      <c r="C7" s="234"/>
      <c r="D7" s="235"/>
      <c r="E7" s="235"/>
      <c r="F7" s="31"/>
      <c r="G7" s="31"/>
      <c r="H7" s="31"/>
      <c r="I7" s="31"/>
      <c r="J7" s="31"/>
      <c r="K7" s="31"/>
      <c r="L7" s="28"/>
      <c r="M7" s="31"/>
      <c r="N7" s="28"/>
      <c r="Q7" s="287"/>
      <c r="R7" s="193"/>
      <c r="S7" s="193"/>
      <c r="T7" s="193"/>
      <c r="U7" s="193"/>
      <c r="V7" s="238"/>
    </row>
    <row r="8" spans="1:22" s="45" customFormat="1" ht="15">
      <c r="A8" s="45" t="s">
        <v>0</v>
      </c>
      <c r="B8" s="46">
        <f>'(A) Budget Summary'!C9</f>
        <v>55175299</v>
      </c>
      <c r="C8" s="41"/>
      <c r="D8" s="39">
        <v>882390</v>
      </c>
      <c r="E8" s="41"/>
      <c r="F8" s="39">
        <v>85000</v>
      </c>
      <c r="G8" s="39"/>
      <c r="H8" s="39"/>
      <c r="I8" s="39"/>
      <c r="J8" s="39">
        <f>ROUND(('(E) 2011-12 FTES '!D8*7305)/100,0)*100</f>
        <v>1395300</v>
      </c>
      <c r="K8" s="39"/>
      <c r="L8" s="46">
        <f>SUM(D8:J8)</f>
        <v>2362690</v>
      </c>
      <c r="M8" s="39"/>
      <c r="N8" s="46">
        <f>B8+L8</f>
        <v>57537989</v>
      </c>
      <c r="Q8" s="288">
        <v>752000</v>
      </c>
      <c r="R8" s="195">
        <v>66000</v>
      </c>
      <c r="S8" s="195">
        <v>111087.32506820773</v>
      </c>
      <c r="T8" s="195">
        <v>30000</v>
      </c>
      <c r="U8" s="195"/>
      <c r="V8" s="239">
        <f>SUM(Q8:U8)</f>
        <v>959087.32506820769</v>
      </c>
    </row>
    <row r="9" spans="1:22" s="26" customFormat="1" ht="15">
      <c r="A9" s="26" t="s">
        <v>1</v>
      </c>
      <c r="B9" s="47">
        <f>'(A) Budget Summary'!C10</f>
        <v>45969040</v>
      </c>
      <c r="C9" s="37"/>
      <c r="D9" s="426">
        <v>679780</v>
      </c>
      <c r="E9" s="37"/>
      <c r="F9" s="40"/>
      <c r="G9" s="40"/>
      <c r="H9" s="40"/>
      <c r="I9" s="40"/>
      <c r="J9" s="40">
        <f>ROUND(('(E) 2011-12 FTES '!D9*7305)/100,0)*100</f>
        <v>1409900</v>
      </c>
      <c r="K9" s="40"/>
      <c r="L9" s="47">
        <f>SUM(D9:J9)</f>
        <v>2089680</v>
      </c>
      <c r="M9" s="40"/>
      <c r="N9" s="47">
        <f>B9+L9</f>
        <v>48058720</v>
      </c>
      <c r="Q9" s="289">
        <v>553000</v>
      </c>
      <c r="R9" s="194">
        <v>62000</v>
      </c>
      <c r="S9" s="194">
        <v>84073.201836164095</v>
      </c>
      <c r="T9" s="194">
        <v>207000</v>
      </c>
      <c r="U9" s="194"/>
      <c r="V9" s="240">
        <f>SUM(Q9:U9)</f>
        <v>906073.20183616411</v>
      </c>
    </row>
    <row r="10" spans="1:22" s="26" customFormat="1" ht="15">
      <c r="A10" s="26" t="s">
        <v>2</v>
      </c>
      <c r="B10" s="47">
        <f>'(A) Budget Summary'!C11</f>
        <v>102076032</v>
      </c>
      <c r="C10" s="37"/>
      <c r="D10" s="426">
        <v>1781990</v>
      </c>
      <c r="E10" s="37"/>
      <c r="F10" s="40"/>
      <c r="G10" s="40"/>
      <c r="H10" s="40"/>
      <c r="I10" s="40"/>
      <c r="J10" s="40">
        <f>ROUND(('(E) 2011-12 FTES '!D10*7305)/100,0)*100</f>
        <v>1709400</v>
      </c>
      <c r="K10" s="40"/>
      <c r="L10" s="47">
        <f t="shared" ref="L10:L30" si="0">SUM(D10:J10)</f>
        <v>3491390</v>
      </c>
      <c r="M10" s="40"/>
      <c r="N10" s="47">
        <f t="shared" ref="N10:N30" si="1">B10+L10</f>
        <v>105567422</v>
      </c>
      <c r="Q10" s="289">
        <v>1660000</v>
      </c>
      <c r="R10" s="194">
        <v>142000</v>
      </c>
      <c r="S10" s="194">
        <v>235507.29852467711</v>
      </c>
      <c r="T10" s="194">
        <v>0</v>
      </c>
      <c r="U10" s="194"/>
      <c r="V10" s="240">
        <f t="shared" ref="V10:V30" si="2">SUM(Q10:U10)</f>
        <v>2037507.2985246771</v>
      </c>
    </row>
    <row r="11" spans="1:22" s="26" customFormat="1" ht="15">
      <c r="A11" s="26" t="s">
        <v>3</v>
      </c>
      <c r="B11" s="47">
        <f>'(A) Budget Summary'!C12</f>
        <v>66950742</v>
      </c>
      <c r="C11" s="37"/>
      <c r="D11" s="426">
        <v>1130240</v>
      </c>
      <c r="E11" s="37"/>
      <c r="F11" s="40"/>
      <c r="G11" s="40"/>
      <c r="H11" s="40"/>
      <c r="I11" s="40"/>
      <c r="J11" s="40">
        <f>ROUND(('(E) 2011-12 FTES '!D11*7305)/100,0)*100</f>
        <v>2688200</v>
      </c>
      <c r="K11" s="40"/>
      <c r="L11" s="47">
        <f t="shared" si="0"/>
        <v>3818440</v>
      </c>
      <c r="M11" s="40"/>
      <c r="N11" s="47">
        <f t="shared" si="1"/>
        <v>70769182</v>
      </c>
      <c r="Q11" s="289">
        <v>910000</v>
      </c>
      <c r="R11" s="194">
        <v>73000</v>
      </c>
      <c r="S11" s="194">
        <v>136217.21022602738</v>
      </c>
      <c r="T11" s="194">
        <v>0</v>
      </c>
      <c r="U11" s="194"/>
      <c r="V11" s="240">
        <f t="shared" si="2"/>
        <v>1119217.2102260273</v>
      </c>
    </row>
    <row r="12" spans="1:22" s="26" customFormat="1" ht="15">
      <c r="A12" s="26" t="s">
        <v>29</v>
      </c>
      <c r="B12" s="47">
        <f>'(A) Budget Summary'!C13</f>
        <v>77629521</v>
      </c>
      <c r="C12" s="37"/>
      <c r="D12" s="426">
        <v>1600220</v>
      </c>
      <c r="E12" s="37"/>
      <c r="F12" s="40"/>
      <c r="G12" s="40"/>
      <c r="H12" s="40"/>
      <c r="I12" s="40"/>
      <c r="J12" s="40">
        <f>ROUND(('(E) 2011-12 FTES '!D12*7305)/100,0)*100</f>
        <v>1008100</v>
      </c>
      <c r="K12" s="40"/>
      <c r="L12" s="47">
        <f t="shared" si="0"/>
        <v>2608320</v>
      </c>
      <c r="M12" s="40"/>
      <c r="N12" s="47">
        <f t="shared" si="1"/>
        <v>80237841</v>
      </c>
      <c r="Q12" s="289">
        <v>1346000</v>
      </c>
      <c r="R12" s="194">
        <v>118000</v>
      </c>
      <c r="S12" s="194">
        <v>189287.45077870338</v>
      </c>
      <c r="T12" s="194">
        <v>12000</v>
      </c>
      <c r="U12" s="194"/>
      <c r="V12" s="240">
        <f t="shared" si="2"/>
        <v>1665287.4507787034</v>
      </c>
    </row>
    <row r="13" spans="1:22" s="26" customFormat="1" ht="15">
      <c r="A13" s="26" t="s">
        <v>4</v>
      </c>
      <c r="B13" s="47">
        <f>'(A) Budget Summary'!C14</f>
        <v>133844322</v>
      </c>
      <c r="C13" s="37"/>
      <c r="D13" s="426">
        <v>2138500</v>
      </c>
      <c r="E13" s="37"/>
      <c r="F13" s="40"/>
      <c r="G13" s="40"/>
      <c r="H13" s="40"/>
      <c r="I13" s="40"/>
      <c r="J13" s="40">
        <f>ROUND(('(E) 2011-12 FTES '!D13*7305)/100,0)*100</f>
        <v>2279200</v>
      </c>
      <c r="K13" s="40"/>
      <c r="L13" s="47">
        <f t="shared" si="0"/>
        <v>4417700</v>
      </c>
      <c r="M13" s="40"/>
      <c r="N13" s="47">
        <f t="shared" si="1"/>
        <v>138262022</v>
      </c>
      <c r="Q13" s="289">
        <v>1853000</v>
      </c>
      <c r="R13" s="194">
        <v>167000</v>
      </c>
      <c r="S13" s="194">
        <v>273611.4187083334</v>
      </c>
      <c r="T13" s="194">
        <v>28000</v>
      </c>
      <c r="U13" s="194"/>
      <c r="V13" s="240">
        <f t="shared" si="2"/>
        <v>2321611.4187083333</v>
      </c>
    </row>
    <row r="14" spans="1:22" s="26" customFormat="1" ht="15">
      <c r="A14" s="26" t="s">
        <v>5</v>
      </c>
      <c r="B14" s="47">
        <f>'(A) Budget Summary'!C15</f>
        <v>151122657</v>
      </c>
      <c r="C14" s="37"/>
      <c r="D14" s="426">
        <v>3090004</v>
      </c>
      <c r="E14" s="37"/>
      <c r="F14" s="40"/>
      <c r="G14" s="40"/>
      <c r="H14" s="40"/>
      <c r="I14" s="40"/>
      <c r="J14" s="40">
        <f>ROUND(('(E) 2011-12 FTES '!D14*7305)/100,0)*100</f>
        <v>9328500</v>
      </c>
      <c r="K14" s="40"/>
      <c r="L14" s="47">
        <f t="shared" si="0"/>
        <v>12418504</v>
      </c>
      <c r="M14" s="40"/>
      <c r="N14" s="47">
        <f t="shared" si="1"/>
        <v>163541161</v>
      </c>
      <c r="Q14" s="289">
        <v>2445000</v>
      </c>
      <c r="R14" s="194">
        <v>233000</v>
      </c>
      <c r="S14" s="194">
        <v>364147.70231224742</v>
      </c>
      <c r="T14" s="194">
        <v>275000</v>
      </c>
      <c r="U14" s="194"/>
      <c r="V14" s="240">
        <f t="shared" si="2"/>
        <v>3317147.7023122474</v>
      </c>
    </row>
    <row r="15" spans="1:22" s="26" customFormat="1" ht="15">
      <c r="A15" s="26" t="s">
        <v>6</v>
      </c>
      <c r="B15" s="47">
        <f>'(A) Budget Summary'!C16</f>
        <v>69875740</v>
      </c>
      <c r="C15" s="37"/>
      <c r="D15" s="426">
        <v>1062010</v>
      </c>
      <c r="E15" s="37"/>
      <c r="F15" s="40"/>
      <c r="G15" s="40"/>
      <c r="H15" s="40"/>
      <c r="I15" s="40"/>
      <c r="J15" s="40">
        <f>ROUND(('(E) 2011-12 FTES '!D15*7305)/100,0)*100</f>
        <v>1358700</v>
      </c>
      <c r="K15" s="40"/>
      <c r="L15" s="47">
        <f t="shared" si="0"/>
        <v>2420710</v>
      </c>
      <c r="M15" s="40"/>
      <c r="N15" s="47">
        <f t="shared" si="1"/>
        <v>72296450</v>
      </c>
      <c r="Q15" s="289">
        <v>927000</v>
      </c>
      <c r="R15" s="194">
        <v>87000</v>
      </c>
      <c r="S15" s="194">
        <v>176567.40574165579</v>
      </c>
      <c r="T15" s="194">
        <v>0</v>
      </c>
      <c r="U15" s="194"/>
      <c r="V15" s="240">
        <f t="shared" si="2"/>
        <v>1190567.4057416557</v>
      </c>
    </row>
    <row r="16" spans="1:22" s="26" customFormat="1" ht="15">
      <c r="A16" s="26" t="s">
        <v>7</v>
      </c>
      <c r="B16" s="47">
        <f>'(A) Budget Summary'!C17</f>
        <v>174152206.16</v>
      </c>
      <c r="C16" s="37"/>
      <c r="D16" s="426">
        <v>3430530</v>
      </c>
      <c r="E16" s="37"/>
      <c r="F16" s="40"/>
      <c r="G16" s="40"/>
      <c r="H16" s="40"/>
      <c r="I16" s="40"/>
      <c r="J16" s="40">
        <f>ROUND(('(E) 2011-12 FTES '!D16*7305)/100,0)*100</f>
        <v>3075400</v>
      </c>
      <c r="K16" s="40"/>
      <c r="L16" s="47">
        <f t="shared" si="0"/>
        <v>6505930</v>
      </c>
      <c r="M16" s="40"/>
      <c r="N16" s="47">
        <f t="shared" si="1"/>
        <v>180658136.16</v>
      </c>
      <c r="Q16" s="289">
        <v>2676000</v>
      </c>
      <c r="R16" s="194">
        <v>227000</v>
      </c>
      <c r="S16" s="194">
        <v>395194.21554424573</v>
      </c>
      <c r="T16" s="194">
        <v>0</v>
      </c>
      <c r="U16" s="194"/>
      <c r="V16" s="240">
        <f t="shared" si="2"/>
        <v>3298194.2155442457</v>
      </c>
    </row>
    <row r="17" spans="1:22" s="26" customFormat="1" ht="15">
      <c r="A17" s="26" t="s">
        <v>8</v>
      </c>
      <c r="B17" s="47">
        <f>'(A) Budget Summary'!C18</f>
        <v>118213089</v>
      </c>
      <c r="C17" s="37"/>
      <c r="D17" s="426">
        <v>2018640</v>
      </c>
      <c r="E17" s="37"/>
      <c r="F17" s="40"/>
      <c r="G17" s="40"/>
      <c r="H17" s="40"/>
      <c r="I17" s="40"/>
      <c r="J17" s="40">
        <f>ROUND(('(E) 2011-12 FTES '!D17*7305)/100,0)*100</f>
        <v>1599800</v>
      </c>
      <c r="K17" s="40"/>
      <c r="L17" s="47">
        <f t="shared" si="0"/>
        <v>3618440</v>
      </c>
      <c r="M17" s="40"/>
      <c r="N17" s="47">
        <f t="shared" si="1"/>
        <v>121831529</v>
      </c>
      <c r="Q17" s="289">
        <v>1586000</v>
      </c>
      <c r="R17" s="194">
        <v>140000</v>
      </c>
      <c r="S17" s="194">
        <v>307139.84518216096</v>
      </c>
      <c r="T17" s="194">
        <v>94000</v>
      </c>
      <c r="U17" s="194"/>
      <c r="V17" s="240">
        <f t="shared" si="2"/>
        <v>2127139.8451821608</v>
      </c>
    </row>
    <row r="18" spans="1:22" s="26" customFormat="1" ht="15">
      <c r="A18" s="26" t="s">
        <v>9</v>
      </c>
      <c r="B18" s="47">
        <f>'(A) Budget Summary'!C19</f>
        <v>19008771</v>
      </c>
      <c r="C18" s="37"/>
      <c r="D18" s="426">
        <v>246580</v>
      </c>
      <c r="E18" s="37"/>
      <c r="F18" s="40">
        <v>1500000</v>
      </c>
      <c r="G18" s="40"/>
      <c r="H18" s="40"/>
      <c r="I18" s="40"/>
      <c r="J18" s="40">
        <f>ROUND(('(E) 2011-12 FTES '!D18*7305)/100,0)*100</f>
        <v>547900</v>
      </c>
      <c r="K18" s="40"/>
      <c r="L18" s="47">
        <f t="shared" si="0"/>
        <v>2294480</v>
      </c>
      <c r="M18" s="40"/>
      <c r="N18" s="47">
        <f t="shared" si="1"/>
        <v>21303251</v>
      </c>
      <c r="Q18" s="289">
        <v>206000</v>
      </c>
      <c r="R18" s="194">
        <v>20000</v>
      </c>
      <c r="S18" s="194">
        <v>53515.894767934355</v>
      </c>
      <c r="T18" s="194">
        <v>2000</v>
      </c>
      <c r="U18" s="194"/>
      <c r="V18" s="240">
        <f t="shared" si="2"/>
        <v>281515.89476793434</v>
      </c>
    </row>
    <row r="19" spans="1:22" s="26" customFormat="1" ht="15">
      <c r="A19" s="26" t="s">
        <v>10</v>
      </c>
      <c r="B19" s="47">
        <f>'(A) Budget Summary'!C20</f>
        <v>51596253</v>
      </c>
      <c r="C19" s="37"/>
      <c r="D19" s="426">
        <v>770270</v>
      </c>
      <c r="E19" s="37"/>
      <c r="F19" s="40"/>
      <c r="G19" s="40"/>
      <c r="H19" s="40"/>
      <c r="I19" s="40"/>
      <c r="J19" s="40">
        <f>ROUND(('(E) 2011-12 FTES '!D19*7305)/100,0)*100</f>
        <v>4383000</v>
      </c>
      <c r="K19" s="40"/>
      <c r="L19" s="47">
        <f t="shared" si="0"/>
        <v>5153270</v>
      </c>
      <c r="M19" s="40"/>
      <c r="N19" s="47">
        <f t="shared" si="1"/>
        <v>56749523</v>
      </c>
      <c r="Q19" s="289">
        <v>534000</v>
      </c>
      <c r="R19" s="194">
        <v>54000</v>
      </c>
      <c r="S19" s="194">
        <v>97563.349409289658</v>
      </c>
      <c r="T19" s="194">
        <v>0</v>
      </c>
      <c r="U19" s="194"/>
      <c r="V19" s="240">
        <f t="shared" si="2"/>
        <v>685563.34940928966</v>
      </c>
    </row>
    <row r="20" spans="1:22" s="26" customFormat="1" ht="15">
      <c r="A20" s="26" t="s">
        <v>11</v>
      </c>
      <c r="B20" s="47">
        <f>'(A) Budget Summary'!C21</f>
        <v>166726076</v>
      </c>
      <c r="C20" s="37"/>
      <c r="D20" s="426">
        <v>3223170</v>
      </c>
      <c r="E20" s="37"/>
      <c r="F20" s="40"/>
      <c r="G20" s="40"/>
      <c r="H20" s="40"/>
      <c r="I20" s="40"/>
      <c r="J20" s="40">
        <f>ROUND(('(E) 2011-12 FTES '!D20*7305)/100,0)*100</f>
        <v>7626400</v>
      </c>
      <c r="K20" s="40"/>
      <c r="L20" s="47">
        <f t="shared" si="0"/>
        <v>10849570</v>
      </c>
      <c r="M20" s="40"/>
      <c r="N20" s="47">
        <f t="shared" si="1"/>
        <v>177575646</v>
      </c>
      <c r="Q20" s="289">
        <v>2554000</v>
      </c>
      <c r="R20" s="194">
        <v>226000</v>
      </c>
      <c r="S20" s="194">
        <v>372738.25567797635</v>
      </c>
      <c r="T20" s="194">
        <v>0</v>
      </c>
      <c r="U20" s="194"/>
      <c r="V20" s="240">
        <f t="shared" si="2"/>
        <v>3152738.2556779762</v>
      </c>
    </row>
    <row r="21" spans="1:22" s="26" customFormat="1" ht="15">
      <c r="A21" s="26" t="s">
        <v>12</v>
      </c>
      <c r="B21" s="47">
        <f>'(A) Budget Summary'!C22</f>
        <v>124212192</v>
      </c>
      <c r="C21" s="37"/>
      <c r="D21" s="426">
        <v>2233070</v>
      </c>
      <c r="E21" s="37"/>
      <c r="F21" s="40"/>
      <c r="G21" s="40"/>
      <c r="H21" s="40"/>
      <c r="I21" s="40"/>
      <c r="J21" s="40">
        <f>ROUND(('(E) 2011-12 FTES '!D21*7305)/100,0)*100</f>
        <v>1789700</v>
      </c>
      <c r="K21" s="40"/>
      <c r="L21" s="47">
        <f t="shared" si="0"/>
        <v>4022770</v>
      </c>
      <c r="M21" s="40"/>
      <c r="N21" s="47">
        <f t="shared" si="1"/>
        <v>128234962</v>
      </c>
      <c r="Q21" s="289">
        <v>1819000</v>
      </c>
      <c r="R21" s="194">
        <v>161000</v>
      </c>
      <c r="S21" s="194">
        <v>295373.56042632402</v>
      </c>
      <c r="T21" s="194">
        <v>887000</v>
      </c>
      <c r="U21" s="194"/>
      <c r="V21" s="240">
        <f t="shared" si="2"/>
        <v>3162373.5604263241</v>
      </c>
    </row>
    <row r="22" spans="1:22" s="26" customFormat="1" ht="15">
      <c r="A22" s="26" t="s">
        <v>13</v>
      </c>
      <c r="B22" s="47">
        <f>'(A) Budget Summary'!C23</f>
        <v>140795817</v>
      </c>
      <c r="C22" s="37"/>
      <c r="D22" s="426">
        <v>2568060</v>
      </c>
      <c r="E22" s="37"/>
      <c r="F22" s="40"/>
      <c r="G22" s="40"/>
      <c r="H22" s="40"/>
      <c r="I22" s="40"/>
      <c r="J22" s="40">
        <f>ROUND(('(E) 2011-12 FTES '!D22*7305)/100,0)*100</f>
        <v>0</v>
      </c>
      <c r="K22" s="40"/>
      <c r="L22" s="47">
        <f t="shared" si="0"/>
        <v>2568060</v>
      </c>
      <c r="M22" s="40"/>
      <c r="N22" s="47">
        <f t="shared" si="1"/>
        <v>143363877</v>
      </c>
      <c r="Q22" s="289">
        <v>2283000</v>
      </c>
      <c r="R22" s="194">
        <v>198000</v>
      </c>
      <c r="S22" s="194">
        <v>291091.49997940683</v>
      </c>
      <c r="T22" s="194">
        <v>1327000</v>
      </c>
      <c r="U22" s="194"/>
      <c r="V22" s="240">
        <f t="shared" si="2"/>
        <v>4099091.4999794066</v>
      </c>
    </row>
    <row r="23" spans="1:22" s="26" customFormat="1" ht="15">
      <c r="A23" s="26" t="s">
        <v>14</v>
      </c>
      <c r="B23" s="47">
        <f>'(A) Budget Summary'!C24</f>
        <v>94053498</v>
      </c>
      <c r="C23" s="37"/>
      <c r="D23" s="426">
        <v>1540280</v>
      </c>
      <c r="E23" s="37"/>
      <c r="F23" s="40"/>
      <c r="G23" s="40"/>
      <c r="H23" s="40"/>
      <c r="I23" s="40"/>
      <c r="J23" s="40">
        <f>ROUND(('(E) 2011-12 FTES '!D23*7305)/100,0)*100</f>
        <v>1256500</v>
      </c>
      <c r="K23" s="40"/>
      <c r="L23" s="47">
        <f t="shared" si="0"/>
        <v>2796780</v>
      </c>
      <c r="M23" s="40"/>
      <c r="N23" s="47">
        <f t="shared" si="1"/>
        <v>96850278</v>
      </c>
      <c r="Q23" s="289">
        <v>1441000</v>
      </c>
      <c r="R23" s="194">
        <v>114000</v>
      </c>
      <c r="S23" s="194">
        <v>226252.92033370005</v>
      </c>
      <c r="T23" s="194">
        <v>0</v>
      </c>
      <c r="U23" s="194"/>
      <c r="V23" s="240">
        <f t="shared" si="2"/>
        <v>1781252.9203337</v>
      </c>
    </row>
    <row r="24" spans="1:22" s="26" customFormat="1" ht="15">
      <c r="A24" s="26" t="s">
        <v>15</v>
      </c>
      <c r="B24" s="47">
        <f>'(A) Budget Summary'!C25</f>
        <v>185949676</v>
      </c>
      <c r="C24" s="37"/>
      <c r="D24" s="426">
        <v>3285970</v>
      </c>
      <c r="E24" s="37"/>
      <c r="F24" s="40"/>
      <c r="G24" s="40"/>
      <c r="H24" s="40"/>
      <c r="I24" s="40"/>
      <c r="J24" s="40">
        <f>ROUND(('(E) 2011-12 FTES '!D24*7305)/100,0)*100</f>
        <v>-5310700</v>
      </c>
      <c r="K24" s="40"/>
      <c r="L24" s="47">
        <f t="shared" si="0"/>
        <v>-2024730</v>
      </c>
      <c r="M24" s="40"/>
      <c r="N24" s="47">
        <f t="shared" si="1"/>
        <v>183924946</v>
      </c>
      <c r="Q24" s="289">
        <v>3005000</v>
      </c>
      <c r="R24" s="194">
        <v>254000</v>
      </c>
      <c r="S24" s="194">
        <v>449286.96819622075</v>
      </c>
      <c r="T24" s="194">
        <v>354000</v>
      </c>
      <c r="U24" s="194"/>
      <c r="V24" s="240">
        <f t="shared" si="2"/>
        <v>4062286.9681962207</v>
      </c>
    </row>
    <row r="25" spans="1:22" s="26" customFormat="1" ht="15">
      <c r="A25" s="26" t="s">
        <v>16</v>
      </c>
      <c r="B25" s="47">
        <f>'(A) Budget Summary'!C26</f>
        <v>143863789</v>
      </c>
      <c r="C25" s="37"/>
      <c r="D25" s="426">
        <v>3078150</v>
      </c>
      <c r="E25" s="37"/>
      <c r="F25" s="40"/>
      <c r="G25" s="40"/>
      <c r="H25" s="40"/>
      <c r="I25" s="40"/>
      <c r="J25" s="40">
        <f>ROUND(('(E) 2011-12 FTES '!D25*7305)/100,0)*100</f>
        <v>5522600</v>
      </c>
      <c r="K25" s="40"/>
      <c r="L25" s="47">
        <f t="shared" si="0"/>
        <v>8600750</v>
      </c>
      <c r="M25" s="40"/>
      <c r="N25" s="47">
        <f t="shared" si="1"/>
        <v>152464539</v>
      </c>
      <c r="Q25" s="289">
        <v>2358000</v>
      </c>
      <c r="R25" s="194">
        <v>202000</v>
      </c>
      <c r="S25" s="194">
        <v>320432.22856142261</v>
      </c>
      <c r="T25" s="194">
        <v>400000</v>
      </c>
      <c r="U25" s="194"/>
      <c r="V25" s="240">
        <f t="shared" si="2"/>
        <v>3280432.2285614228</v>
      </c>
    </row>
    <row r="26" spans="1:22" s="26" customFormat="1" ht="15">
      <c r="A26" s="26" t="s">
        <v>17</v>
      </c>
      <c r="B26" s="47">
        <f>'(A) Budget Summary'!C27</f>
        <v>140513822</v>
      </c>
      <c r="C26" s="37"/>
      <c r="D26" s="426">
        <v>2861000</v>
      </c>
      <c r="E26" s="37"/>
      <c r="F26" s="40"/>
      <c r="G26" s="40"/>
      <c r="H26" s="40"/>
      <c r="I26" s="40"/>
      <c r="J26" s="40">
        <f>ROUND(('(E) 2011-12 FTES '!D26*7305)/100,0)*100</f>
        <v>-730500</v>
      </c>
      <c r="K26" s="40"/>
      <c r="L26" s="47">
        <f t="shared" si="0"/>
        <v>2130500</v>
      </c>
      <c r="M26" s="40"/>
      <c r="N26" s="47">
        <f t="shared" si="1"/>
        <v>142644322</v>
      </c>
      <c r="Q26" s="289">
        <v>2339000</v>
      </c>
      <c r="R26" s="194">
        <v>218000</v>
      </c>
      <c r="S26" s="194">
        <v>399255.22930910171</v>
      </c>
      <c r="T26" s="194">
        <v>0</v>
      </c>
      <c r="U26" s="194"/>
      <c r="V26" s="240">
        <f t="shared" si="2"/>
        <v>2956255.2293091016</v>
      </c>
    </row>
    <row r="27" spans="1:22" s="26" customFormat="1" ht="15">
      <c r="A27" s="26" t="s">
        <v>18</v>
      </c>
      <c r="B27" s="47">
        <f>'(A) Budget Summary'!C28</f>
        <v>124855198</v>
      </c>
      <c r="C27" s="37"/>
      <c r="D27" s="426">
        <v>2350440</v>
      </c>
      <c r="E27" s="37"/>
      <c r="F27" s="40"/>
      <c r="G27" s="40"/>
      <c r="H27" s="40"/>
      <c r="I27" s="40"/>
      <c r="J27" s="40">
        <f>ROUND(('(E) 2011-12 FTES '!D27*7305)/100,0)*100</f>
        <v>-3382200</v>
      </c>
      <c r="K27" s="40"/>
      <c r="L27" s="47">
        <f t="shared" si="0"/>
        <v>-1031760</v>
      </c>
      <c r="M27" s="40"/>
      <c r="N27" s="47">
        <f t="shared" si="1"/>
        <v>123823438</v>
      </c>
      <c r="Q27" s="289">
        <v>2017000</v>
      </c>
      <c r="R27" s="194">
        <v>195000</v>
      </c>
      <c r="S27" s="194">
        <v>327589.53934489004</v>
      </c>
      <c r="T27" s="194">
        <v>72000</v>
      </c>
      <c r="U27" s="194"/>
      <c r="V27" s="240">
        <f t="shared" si="2"/>
        <v>2611589.53934489</v>
      </c>
    </row>
    <row r="28" spans="1:22" s="26" customFormat="1" ht="15">
      <c r="A28" s="26" t="s">
        <v>19</v>
      </c>
      <c r="B28" s="47">
        <f>'(A) Budget Summary'!C29</f>
        <v>60198542</v>
      </c>
      <c r="C28" s="37"/>
      <c r="D28" s="426">
        <v>1066440</v>
      </c>
      <c r="E28" s="37"/>
      <c r="F28" s="40"/>
      <c r="G28" s="40"/>
      <c r="H28" s="40"/>
      <c r="I28" s="40"/>
      <c r="J28" s="40">
        <f>ROUND(('(E) 2011-12 FTES '!D28*7305)/100,0)*100</f>
        <v>2520200</v>
      </c>
      <c r="K28" s="40"/>
      <c r="L28" s="47">
        <f t="shared" si="0"/>
        <v>3586640</v>
      </c>
      <c r="M28" s="40"/>
      <c r="N28" s="47">
        <f t="shared" si="1"/>
        <v>63785182</v>
      </c>
      <c r="Q28" s="289">
        <v>854000</v>
      </c>
      <c r="R28" s="194">
        <v>79000</v>
      </c>
      <c r="S28" s="194">
        <v>128864.32654170287</v>
      </c>
      <c r="T28" s="194">
        <v>128000</v>
      </c>
      <c r="U28" s="194"/>
      <c r="V28" s="240">
        <f t="shared" si="2"/>
        <v>1189864.326541703</v>
      </c>
    </row>
    <row r="29" spans="1:22" s="26" customFormat="1" ht="15">
      <c r="A29" s="26" t="s">
        <v>20</v>
      </c>
      <c r="B29" s="47">
        <f>'(A) Budget Summary'!C30</f>
        <v>56137723</v>
      </c>
      <c r="C29" s="37"/>
      <c r="D29" s="426">
        <v>1008200</v>
      </c>
      <c r="E29" s="37"/>
      <c r="F29" s="40"/>
      <c r="G29" s="40"/>
      <c r="H29" s="40"/>
      <c r="I29" s="40"/>
      <c r="J29" s="40">
        <f>ROUND(('(E) 2011-12 FTES '!D29*7305)/100,0)*100</f>
        <v>1344100</v>
      </c>
      <c r="K29" s="40"/>
      <c r="L29" s="47">
        <f t="shared" si="0"/>
        <v>2352300</v>
      </c>
      <c r="M29" s="40"/>
      <c r="N29" s="47">
        <f t="shared" si="1"/>
        <v>58490023</v>
      </c>
      <c r="Q29" s="289">
        <v>965000</v>
      </c>
      <c r="R29" s="194">
        <v>86000</v>
      </c>
      <c r="S29" s="194">
        <v>130608.04795186565</v>
      </c>
      <c r="T29" s="194">
        <v>0</v>
      </c>
      <c r="U29" s="194"/>
      <c r="V29" s="240">
        <f t="shared" si="2"/>
        <v>1181608.0479518657</v>
      </c>
    </row>
    <row r="30" spans="1:22" s="26" customFormat="1" ht="15">
      <c r="A30" s="26" t="s">
        <v>21</v>
      </c>
      <c r="B30" s="47">
        <f>'(A) Budget Summary'!C31</f>
        <v>56514337</v>
      </c>
      <c r="C30" s="37"/>
      <c r="D30" s="426">
        <v>863960</v>
      </c>
      <c r="E30" s="37"/>
      <c r="F30" s="40"/>
      <c r="G30" s="40"/>
      <c r="H30" s="40"/>
      <c r="I30" s="40"/>
      <c r="J30" s="40">
        <f>ROUND(('(E) 2011-12 FTES '!D30*7305)/100,0)*100</f>
        <v>-1125000</v>
      </c>
      <c r="K30" s="40"/>
      <c r="L30" s="47">
        <f t="shared" si="0"/>
        <v>-261040</v>
      </c>
      <c r="M30" s="40"/>
      <c r="N30" s="47">
        <f t="shared" si="1"/>
        <v>56253297</v>
      </c>
      <c r="Q30" s="289">
        <v>840000</v>
      </c>
      <c r="R30" s="194">
        <v>76000</v>
      </c>
      <c r="S30" s="194">
        <v>134595.1055777421</v>
      </c>
      <c r="T30" s="194">
        <v>0</v>
      </c>
      <c r="U30" s="194"/>
      <c r="V30" s="240">
        <f t="shared" si="2"/>
        <v>1050595.1055777422</v>
      </c>
    </row>
    <row r="31" spans="1:22" s="26" customFormat="1" ht="9" customHeight="1">
      <c r="B31" s="47"/>
      <c r="C31" s="37"/>
      <c r="D31" s="37"/>
      <c r="E31" s="37"/>
      <c r="F31" s="40"/>
      <c r="G31" s="40"/>
      <c r="H31" s="40"/>
      <c r="I31" s="40"/>
      <c r="J31" s="40"/>
      <c r="K31" s="40"/>
      <c r="L31" s="47"/>
      <c r="M31" s="40"/>
      <c r="N31" s="47"/>
      <c r="Q31" s="289"/>
      <c r="R31" s="194"/>
      <c r="S31" s="194"/>
      <c r="T31" s="194"/>
      <c r="U31" s="194"/>
      <c r="V31" s="240"/>
    </row>
    <row r="32" spans="1:22" s="45" customFormat="1" ht="15" customHeight="1">
      <c r="A32" s="33" t="s">
        <v>22</v>
      </c>
      <c r="B32" s="48">
        <f>SUM(B8:B30)</f>
        <v>2359434342.1599998</v>
      </c>
      <c r="C32" s="38"/>
      <c r="D32" s="38">
        <f>SUM(D8:D31)</f>
        <v>42909894</v>
      </c>
      <c r="E32" s="38"/>
      <c r="F32" s="38">
        <f>SUM(F8:F30)</f>
        <v>1585000</v>
      </c>
      <c r="G32" s="38"/>
      <c r="H32" s="38">
        <f t="shared" ref="H32" si="3">SUM(H8:H30)</f>
        <v>0</v>
      </c>
      <c r="I32" s="38"/>
      <c r="J32" s="38">
        <f>SUM(J8:J31)</f>
        <v>40294500</v>
      </c>
      <c r="K32" s="38"/>
      <c r="L32" s="48">
        <f>SUM(L8:L31)</f>
        <v>84789394</v>
      </c>
      <c r="M32" s="38"/>
      <c r="N32" s="48">
        <f>SUM(N8:N31)</f>
        <v>2444223736.1599998</v>
      </c>
      <c r="Q32" s="290">
        <f>SUM(Q8:Q31)</f>
        <v>35923000</v>
      </c>
      <c r="R32" s="185">
        <f>SUM(R8:R31)</f>
        <v>3198000</v>
      </c>
      <c r="S32" s="185">
        <f>SUM(S8:S31)</f>
        <v>5500000.0000000009</v>
      </c>
      <c r="T32" s="185">
        <f>SUM(T8:T30)</f>
        <v>3816000</v>
      </c>
      <c r="U32" s="185"/>
      <c r="V32" s="241">
        <f>SUM(V8:V31)</f>
        <v>48437000</v>
      </c>
    </row>
    <row r="33" spans="1:22" s="26" customFormat="1" ht="9" customHeight="1">
      <c r="B33" s="47"/>
      <c r="C33" s="37"/>
      <c r="D33" s="37"/>
      <c r="E33" s="37"/>
      <c r="F33" s="40"/>
      <c r="G33" s="40"/>
      <c r="H33" s="40"/>
      <c r="I33" s="40"/>
      <c r="J33" s="40"/>
      <c r="K33" s="40"/>
      <c r="L33" s="47"/>
      <c r="M33" s="40"/>
      <c r="N33" s="47"/>
      <c r="Q33" s="289"/>
      <c r="R33" s="194"/>
      <c r="S33" s="194"/>
      <c r="T33" s="194"/>
      <c r="U33" s="194"/>
      <c r="V33" s="240"/>
    </row>
    <row r="34" spans="1:22" s="26" customFormat="1" ht="15">
      <c r="A34" s="26" t="s">
        <v>23</v>
      </c>
      <c r="B34" s="47">
        <f>'(A) Budget Summary'!C35</f>
        <v>74466672</v>
      </c>
      <c r="C34" s="37"/>
      <c r="D34" s="426">
        <v>804130</v>
      </c>
      <c r="E34" s="37"/>
      <c r="F34" s="40"/>
      <c r="G34" s="40"/>
      <c r="H34" s="40"/>
      <c r="I34" s="40"/>
      <c r="J34" s="40">
        <f>ROUND(('(E) 2011-12 FTES '!D34*7305)/100,0)*100</f>
        <v>0</v>
      </c>
      <c r="K34" s="40"/>
      <c r="L34" s="47">
        <f>SUM(D34:J34)</f>
        <v>804130</v>
      </c>
      <c r="M34" s="40"/>
      <c r="N34" s="47">
        <f>B34+L34</f>
        <v>75270802</v>
      </c>
      <c r="Q34" s="289">
        <f>484000</f>
        <v>484000</v>
      </c>
      <c r="R34" s="194">
        <v>44000</v>
      </c>
      <c r="S34" s="194">
        <v>0</v>
      </c>
      <c r="T34" s="194">
        <v>0</v>
      </c>
      <c r="U34" s="194"/>
      <c r="V34" s="240">
        <f>SUM(Q34:U34)</f>
        <v>528000</v>
      </c>
    </row>
    <row r="35" spans="1:22" s="26" customFormat="1" ht="15">
      <c r="A35" s="26" t="s">
        <v>30</v>
      </c>
      <c r="B35" s="47">
        <f>'(A) Budget Summary'!C36</f>
        <v>1063735</v>
      </c>
      <c r="C35" s="37"/>
      <c r="D35" s="227">
        <v>0</v>
      </c>
      <c r="E35" s="37"/>
      <c r="F35" s="40"/>
      <c r="G35" s="40"/>
      <c r="H35" s="40"/>
      <c r="I35" s="40"/>
      <c r="J35" s="40">
        <v>-82000</v>
      </c>
      <c r="K35" s="40"/>
      <c r="L35" s="47">
        <f t="shared" ref="L35:L38" si="4">SUM(D35:J35)</f>
        <v>-82000</v>
      </c>
      <c r="M35" s="40"/>
      <c r="N35" s="47">
        <f t="shared" ref="N35:N38" si="5">B35+L35</f>
        <v>981735</v>
      </c>
      <c r="Q35" s="289">
        <v>0</v>
      </c>
      <c r="R35" s="194">
        <v>0</v>
      </c>
      <c r="S35" s="194">
        <v>0</v>
      </c>
      <c r="T35" s="194">
        <v>0</v>
      </c>
      <c r="U35" s="194"/>
      <c r="V35" s="240">
        <f t="shared" ref="V35:V38" si="6">SUM(Q35:U35)</f>
        <v>0</v>
      </c>
    </row>
    <row r="36" spans="1:22" s="26" customFormat="1" ht="15">
      <c r="A36" s="26" t="s">
        <v>24</v>
      </c>
      <c r="B36" s="47">
        <f>'(A) Budget Summary'!C37</f>
        <v>2414496</v>
      </c>
      <c r="C36" s="37"/>
      <c r="D36" s="227">
        <v>0</v>
      </c>
      <c r="E36" s="37"/>
      <c r="F36" s="40"/>
      <c r="G36" s="40"/>
      <c r="H36" s="40"/>
      <c r="I36" s="40"/>
      <c r="J36" s="40">
        <v>-145000</v>
      </c>
      <c r="K36" s="40"/>
      <c r="L36" s="47">
        <f t="shared" si="4"/>
        <v>-145000</v>
      </c>
      <c r="M36" s="40"/>
      <c r="N36" s="47">
        <f t="shared" si="5"/>
        <v>2269496</v>
      </c>
      <c r="Q36" s="289">
        <v>0</v>
      </c>
      <c r="R36" s="194">
        <v>0</v>
      </c>
      <c r="S36" s="194">
        <v>0</v>
      </c>
      <c r="T36" s="194">
        <v>0</v>
      </c>
      <c r="U36" s="194"/>
      <c r="V36" s="240">
        <f t="shared" si="6"/>
        <v>0</v>
      </c>
    </row>
    <row r="37" spans="1:22" s="26" customFormat="1" ht="15">
      <c r="A37" s="26" t="s">
        <v>25</v>
      </c>
      <c r="B37" s="47">
        <f>'(A) Budget Summary'!C38</f>
        <v>57800</v>
      </c>
      <c r="C37" s="37"/>
      <c r="D37" s="227">
        <v>0</v>
      </c>
      <c r="E37" s="37"/>
      <c r="F37" s="40"/>
      <c r="G37" s="40"/>
      <c r="H37" s="40"/>
      <c r="I37" s="40"/>
      <c r="J37" s="40">
        <f>ROUND(('(E) 2011-12 FTES '!D37*7305)/100,0)*100</f>
        <v>0</v>
      </c>
      <c r="K37" s="40"/>
      <c r="L37" s="47">
        <f t="shared" si="4"/>
        <v>0</v>
      </c>
      <c r="M37" s="40"/>
      <c r="N37" s="47">
        <f t="shared" si="5"/>
        <v>57800</v>
      </c>
      <c r="Q37" s="289">
        <v>0</v>
      </c>
      <c r="R37" s="194">
        <v>0</v>
      </c>
      <c r="S37" s="194">
        <v>0</v>
      </c>
      <c r="T37" s="194">
        <v>0</v>
      </c>
      <c r="U37" s="194"/>
      <c r="V37" s="240">
        <f t="shared" si="6"/>
        <v>0</v>
      </c>
    </row>
    <row r="38" spans="1:22" s="26" customFormat="1" ht="15">
      <c r="A38" s="26" t="s">
        <v>26</v>
      </c>
      <c r="B38" s="47">
        <f>'(A) Budget Summary'!C39</f>
        <v>286550824</v>
      </c>
      <c r="C38" s="37"/>
      <c r="D38" s="426">
        <f>1096201+(75235000-44810225)</f>
        <v>31520976</v>
      </c>
      <c r="E38" s="37"/>
      <c r="F38" s="40">
        <f>-9961000-85000-2309000+977000+3714000+182000-1500000</f>
        <v>-8982000</v>
      </c>
      <c r="G38" s="40"/>
      <c r="H38" s="40">
        <f>-106552869</f>
        <v>-106552869</v>
      </c>
      <c r="I38" s="40"/>
      <c r="J38" s="40">
        <f>66362900-430400</f>
        <v>65932500</v>
      </c>
      <c r="K38" s="40"/>
      <c r="L38" s="47">
        <f t="shared" si="4"/>
        <v>-18081393</v>
      </c>
      <c r="M38" s="40"/>
      <c r="N38" s="47">
        <f t="shared" si="5"/>
        <v>268469431</v>
      </c>
      <c r="Q38" s="289">
        <v>0</v>
      </c>
      <c r="R38" s="194">
        <v>0</v>
      </c>
      <c r="S38" s="194">
        <v>0</v>
      </c>
      <c r="T38" s="194">
        <v>0</v>
      </c>
      <c r="U38" s="194"/>
      <c r="V38" s="240">
        <f t="shared" si="6"/>
        <v>0</v>
      </c>
    </row>
    <row r="39" spans="1:22" s="26" customFormat="1" ht="9" customHeight="1">
      <c r="B39" s="47"/>
      <c r="C39" s="37"/>
      <c r="D39" s="37"/>
      <c r="E39" s="37"/>
      <c r="F39" s="40"/>
      <c r="G39" s="40"/>
      <c r="H39" s="40"/>
      <c r="I39" s="40"/>
      <c r="J39" s="40"/>
      <c r="K39" s="40"/>
      <c r="L39" s="47"/>
      <c r="M39" s="40"/>
      <c r="N39" s="47"/>
      <c r="Q39" s="291"/>
      <c r="R39" s="279"/>
      <c r="S39" s="279"/>
      <c r="T39" s="279"/>
      <c r="U39" s="279"/>
      <c r="V39" s="282"/>
    </row>
    <row r="40" spans="1:22" s="45" customFormat="1" ht="15" customHeight="1" thickBot="1">
      <c r="A40" s="34" t="s">
        <v>27</v>
      </c>
      <c r="B40" s="49">
        <f>SUM(B32:B38)</f>
        <v>2723987869.1599998</v>
      </c>
      <c r="C40" s="42"/>
      <c r="D40" s="42">
        <f>SUM(D32:D38)</f>
        <v>75235000</v>
      </c>
      <c r="E40" s="42"/>
      <c r="F40" s="42">
        <f>SUM(F32:F38)</f>
        <v>-7397000</v>
      </c>
      <c r="G40" s="42"/>
      <c r="H40" s="42">
        <f t="shared" ref="H40" si="7">SUM(H32:H38)</f>
        <v>-106552869</v>
      </c>
      <c r="I40" s="42"/>
      <c r="J40" s="42">
        <f>J32+J34+J35+J36+J37+J38</f>
        <v>106000000</v>
      </c>
      <c r="K40" s="42"/>
      <c r="L40" s="49">
        <f>SUM(L32:L38)</f>
        <v>67285131</v>
      </c>
      <c r="M40" s="42"/>
      <c r="N40" s="49">
        <f>SUM(N32:N38)</f>
        <v>2791273000.1599998</v>
      </c>
      <c r="Q40" s="283">
        <f>SUM(Q32:Q38)</f>
        <v>36407000</v>
      </c>
      <c r="R40" s="186">
        <f>SUM(R32:R38)</f>
        <v>3242000</v>
      </c>
      <c r="S40" s="186">
        <f>SUM(S32:S38)</f>
        <v>5500000.0000000009</v>
      </c>
      <c r="T40" s="186">
        <f>SUM(T32:T38)</f>
        <v>3816000</v>
      </c>
      <c r="U40" s="186"/>
      <c r="V40" s="242">
        <f>SUM(V32:V39)</f>
        <v>48965000</v>
      </c>
    </row>
    <row r="41" spans="1:22" ht="15.75">
      <c r="K41" s="237"/>
      <c r="L41" s="237"/>
      <c r="M41" s="237"/>
      <c r="N41" s="237"/>
      <c r="O41" s="237"/>
      <c r="P41" s="237"/>
      <c r="Q41" s="202"/>
      <c r="R41" s="202"/>
      <c r="S41" s="202"/>
      <c r="T41" s="202"/>
      <c r="U41" s="215"/>
      <c r="V41" s="200"/>
    </row>
    <row r="42" spans="1:22" s="294" customFormat="1" ht="15.75">
      <c r="A42" s="294" t="s">
        <v>186</v>
      </c>
      <c r="K42" s="295"/>
      <c r="L42" s="313"/>
      <c r="M42" s="295"/>
      <c r="N42" s="313"/>
      <c r="O42" s="313"/>
      <c r="P42" s="295"/>
      <c r="Q42" s="299" t="s">
        <v>185</v>
      </c>
      <c r="R42" s="296"/>
      <c r="S42" s="296"/>
      <c r="T42" s="296"/>
      <c r="U42" s="297"/>
      <c r="V42" s="298"/>
    </row>
    <row r="43" spans="1:22" s="294" customFormat="1" ht="48" customHeight="1">
      <c r="A43" s="457" t="s">
        <v>199</v>
      </c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305"/>
      <c r="Q43" s="299" t="s">
        <v>128</v>
      </c>
    </row>
  </sheetData>
  <mergeCells count="1">
    <mergeCell ref="A43:O43"/>
  </mergeCells>
  <phoneticPr fontId="0" type="noConversion"/>
  <pageMargins left="0.25" right="0.25" top="0.25" bottom="0.25" header="0.5" footer="0.5"/>
  <pageSetup paperSize="5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10.83203125" defaultRowHeight="15.75"/>
  <cols>
    <col min="1" max="1" width="19.83203125" style="200" customWidth="1"/>
    <col min="2" max="2" width="1.83203125" style="200" customWidth="1"/>
    <col min="3" max="3" width="16.5" style="200" bestFit="1" customWidth="1"/>
    <col min="4" max="4" width="1.83203125" style="200" customWidth="1"/>
    <col min="5" max="5" width="14.5" style="200" bestFit="1" customWidth="1"/>
    <col min="6" max="6" width="15.6640625" style="200" bestFit="1" customWidth="1"/>
    <col min="7" max="7" width="18.5" style="200" bestFit="1" customWidth="1"/>
    <col min="8" max="8" width="15.6640625" style="200" bestFit="1" customWidth="1"/>
    <col min="9" max="9" width="3.33203125" style="200" customWidth="1"/>
    <col min="10" max="10" width="18.5" style="433" bestFit="1" customWidth="1"/>
    <col min="11" max="11" width="2.83203125" style="200" customWidth="1"/>
    <col min="12" max="12" width="16.5" style="200" bestFit="1" customWidth="1"/>
    <col min="13" max="13" width="2.83203125" style="200" customWidth="1"/>
    <col min="14" max="14" width="18.5" style="433" bestFit="1" customWidth="1"/>
    <col min="15" max="15" width="1.83203125" style="433" customWidth="1"/>
    <col min="16" max="16" width="17.5" style="433" bestFit="1" customWidth="1"/>
    <col min="17" max="17" width="2.83203125" style="200" customWidth="1"/>
    <col min="18" max="18" width="15.83203125" style="200" customWidth="1"/>
    <col min="19" max="19" width="2.83203125" style="200" customWidth="1"/>
    <col min="20" max="20" width="16.5" style="200" bestFit="1" customWidth="1"/>
    <col min="21" max="22" width="14.6640625" style="200" customWidth="1"/>
    <col min="23" max="23" width="14.83203125" style="200" customWidth="1"/>
    <col min="24" max="24" width="14.6640625" style="200" customWidth="1"/>
    <col min="25" max="25" width="2" style="200" customWidth="1"/>
    <col min="26" max="26" width="17.5" style="200" customWidth="1"/>
    <col min="27" max="16384" width="10.83203125" style="200"/>
  </cols>
  <sheetData>
    <row r="1" spans="1:25" ht="16.5">
      <c r="A1" s="180" t="s">
        <v>152</v>
      </c>
      <c r="B1" s="180"/>
      <c r="C1" s="180"/>
      <c r="D1" s="180"/>
      <c r="H1" s="181"/>
      <c r="I1" s="201"/>
      <c r="J1" s="445"/>
      <c r="K1" s="201"/>
      <c r="L1" s="201"/>
      <c r="M1" s="201"/>
    </row>
    <row r="2" spans="1:25" ht="15.75" customHeight="1">
      <c r="F2" s="191"/>
      <c r="G2" s="191"/>
      <c r="H2" s="201"/>
      <c r="I2" s="201"/>
      <c r="J2" s="445"/>
      <c r="K2" s="201"/>
      <c r="L2" s="201"/>
      <c r="M2" s="201"/>
      <c r="U2" s="214"/>
      <c r="V2" s="214"/>
      <c r="W2" s="214"/>
      <c r="X2" s="214"/>
      <c r="Y2" s="214"/>
    </row>
    <row r="3" spans="1:25" s="192" customFormat="1" ht="15.75" customHeight="1">
      <c r="C3" s="192">
        <v>-1</v>
      </c>
      <c r="E3" s="206">
        <v>-2</v>
      </c>
      <c r="F3" s="206">
        <v>-3</v>
      </c>
      <c r="G3" s="293" t="s">
        <v>153</v>
      </c>
      <c r="H3" s="206">
        <v>-5</v>
      </c>
      <c r="I3" s="206"/>
      <c r="J3" s="434">
        <v>-6</v>
      </c>
      <c r="K3" s="206"/>
      <c r="L3" s="206">
        <v>-7</v>
      </c>
      <c r="M3" s="206"/>
      <c r="N3" s="434">
        <v>-8</v>
      </c>
      <c r="O3" s="434"/>
      <c r="P3" s="435">
        <v>-9</v>
      </c>
      <c r="Q3" s="56"/>
      <c r="R3" s="206">
        <v>-10</v>
      </c>
      <c r="S3" s="56"/>
      <c r="T3" s="56">
        <v>-11</v>
      </c>
    </row>
    <row r="4" spans="1:25" ht="16.5" thickBot="1">
      <c r="A4" s="184"/>
      <c r="B4" s="184"/>
      <c r="C4" s="184"/>
      <c r="D4" s="184"/>
      <c r="E4" s="458" t="s">
        <v>187</v>
      </c>
      <c r="F4" s="458"/>
      <c r="G4" s="458"/>
      <c r="H4" s="458"/>
      <c r="I4" s="458"/>
      <c r="J4" s="458"/>
      <c r="K4" s="213"/>
      <c r="L4" s="213"/>
      <c r="M4" s="213"/>
      <c r="N4" s="459" t="s">
        <v>116</v>
      </c>
      <c r="O4" s="459"/>
      <c r="P4" s="459"/>
      <c r="Q4" s="312"/>
      <c r="R4" s="321"/>
      <c r="S4" s="25"/>
    </row>
    <row r="5" spans="1:25" s="243" customFormat="1" ht="57" customHeight="1">
      <c r="C5" s="302" t="s">
        <v>101</v>
      </c>
      <c r="E5" s="285" t="s">
        <v>99</v>
      </c>
      <c r="F5" s="278" t="s">
        <v>157</v>
      </c>
      <c r="G5" s="427" t="s">
        <v>196</v>
      </c>
      <c r="H5" s="278" t="s">
        <v>100</v>
      </c>
      <c r="I5" s="280"/>
      <c r="J5" s="446" t="s">
        <v>191</v>
      </c>
      <c r="K5" s="244"/>
      <c r="L5" s="245" t="s">
        <v>103</v>
      </c>
      <c r="M5" s="244"/>
      <c r="N5" s="436" t="s">
        <v>189</v>
      </c>
      <c r="O5" s="436"/>
      <c r="P5" s="436" t="s">
        <v>190</v>
      </c>
      <c r="Q5" s="137"/>
      <c r="R5" s="245" t="s">
        <v>125</v>
      </c>
      <c r="S5" s="137"/>
      <c r="T5" s="245" t="s">
        <v>113</v>
      </c>
    </row>
    <row r="6" spans="1:25" s="250" customFormat="1" ht="12.75">
      <c r="C6" s="17" t="s">
        <v>130</v>
      </c>
      <c r="E6" s="281"/>
      <c r="F6" s="251"/>
      <c r="G6" s="324"/>
      <c r="H6" s="322"/>
      <c r="I6" s="252"/>
      <c r="J6" s="247" t="s">
        <v>114</v>
      </c>
      <c r="K6" s="252"/>
      <c r="L6" s="253" t="s">
        <v>124</v>
      </c>
      <c r="M6" s="252"/>
      <c r="N6" s="18" t="s">
        <v>188</v>
      </c>
      <c r="O6" s="437"/>
      <c r="P6" s="18" t="s">
        <v>87</v>
      </c>
      <c r="Q6" s="18"/>
      <c r="R6" s="253" t="s">
        <v>154</v>
      </c>
      <c r="S6" s="18"/>
      <c r="T6" s="253" t="s">
        <v>155</v>
      </c>
    </row>
    <row r="7" spans="1:25" ht="9" customHeight="1">
      <c r="A7" s="184"/>
      <c r="B7" s="184"/>
      <c r="C7" s="184"/>
      <c r="D7" s="184"/>
      <c r="E7" s="311"/>
      <c r="F7" s="193"/>
      <c r="G7" s="193"/>
      <c r="H7" s="193"/>
      <c r="I7" s="193"/>
      <c r="J7" s="238"/>
      <c r="K7" s="193"/>
      <c r="L7" s="238"/>
      <c r="M7" s="193"/>
      <c r="N7" s="438"/>
      <c r="O7" s="438"/>
      <c r="P7" s="438"/>
      <c r="Q7" s="235"/>
      <c r="R7" s="238"/>
      <c r="S7" s="235"/>
      <c r="T7" s="238"/>
    </row>
    <row r="8" spans="1:25" s="277" customFormat="1">
      <c r="A8" s="276" t="s">
        <v>0</v>
      </c>
      <c r="B8" s="276"/>
      <c r="C8" s="276">
        <f>'(B) Base Bud Adj'!N8</f>
        <v>57537989</v>
      </c>
      <c r="D8" s="276"/>
      <c r="E8" s="288">
        <v>-494000</v>
      </c>
      <c r="F8" s="195">
        <v>-2153000</v>
      </c>
      <c r="G8" s="428">
        <v>-2812000</v>
      </c>
      <c r="H8" s="195">
        <v>-4726000</v>
      </c>
      <c r="I8" s="195"/>
      <c r="J8" s="447">
        <f>SUM(E8:I8)</f>
        <v>-10185000</v>
      </c>
      <c r="K8" s="195"/>
      <c r="L8" s="239">
        <f t="shared" ref="L8:L30" si="0">C8+J8</f>
        <v>47352989</v>
      </c>
      <c r="M8" s="284"/>
      <c r="N8" s="439">
        <f>'(D) Tuition Revenue'!AH8</f>
        <v>-3005000</v>
      </c>
      <c r="O8" s="439"/>
      <c r="P8" s="439">
        <f>'(F) SUG '!L8</f>
        <v>4393500</v>
      </c>
      <c r="Q8" s="59"/>
      <c r="R8" s="239">
        <f>J8+N8+P8</f>
        <v>-8796500</v>
      </c>
      <c r="S8" s="59"/>
      <c r="T8" s="239">
        <f>C8+R8</f>
        <v>48741489</v>
      </c>
    </row>
    <row r="9" spans="1:25">
      <c r="A9" s="184" t="s">
        <v>1</v>
      </c>
      <c r="B9" s="184"/>
      <c r="C9" s="184">
        <f>'(B) Base Bud Adj'!N9</f>
        <v>48058720</v>
      </c>
      <c r="D9" s="184"/>
      <c r="E9" s="289">
        <v>-242000</v>
      </c>
      <c r="F9" s="194">
        <v>-1076000</v>
      </c>
      <c r="G9" s="429">
        <v>-1410000</v>
      </c>
      <c r="H9" s="194">
        <f>-4500000+2000000</f>
        <v>-2500000</v>
      </c>
      <c r="I9" s="194"/>
      <c r="J9" s="448">
        <f>SUM(E9:I9)</f>
        <v>-5228000</v>
      </c>
      <c r="K9" s="194"/>
      <c r="L9" s="240">
        <f t="shared" si="0"/>
        <v>42830720</v>
      </c>
      <c r="M9" s="284"/>
      <c r="N9" s="440">
        <f>'(D) Tuition Revenue'!AH9</f>
        <v>-1576000</v>
      </c>
      <c r="O9" s="440"/>
      <c r="P9" s="440">
        <f>'(F) SUG '!L9</f>
        <v>2863600</v>
      </c>
      <c r="Q9" s="60"/>
      <c r="R9" s="240">
        <f>J9+N9+P9</f>
        <v>-3940400</v>
      </c>
      <c r="S9" s="60"/>
      <c r="T9" s="240">
        <f>C9+R9</f>
        <v>44118320</v>
      </c>
    </row>
    <row r="10" spans="1:25">
      <c r="A10" s="184" t="s">
        <v>2</v>
      </c>
      <c r="B10" s="184"/>
      <c r="C10" s="184">
        <f>'(B) Base Bud Adj'!N10</f>
        <v>105567422</v>
      </c>
      <c r="D10" s="184"/>
      <c r="E10" s="289">
        <v>-1051000</v>
      </c>
      <c r="F10" s="194">
        <v>-4515000</v>
      </c>
      <c r="G10" s="429">
        <v>-5908000</v>
      </c>
      <c r="H10" s="194">
        <v>-13078000</v>
      </c>
      <c r="I10" s="194"/>
      <c r="J10" s="448">
        <f t="shared" ref="J10:J30" si="1">SUM(E10:I10)</f>
        <v>-24552000</v>
      </c>
      <c r="K10" s="194"/>
      <c r="L10" s="240">
        <f t="shared" si="0"/>
        <v>81015422</v>
      </c>
      <c r="M10" s="284"/>
      <c r="N10" s="440">
        <f>'(D) Tuition Revenue'!AH10</f>
        <v>-6016000</v>
      </c>
      <c r="O10" s="440"/>
      <c r="P10" s="440">
        <f>'(F) SUG '!L10</f>
        <v>6330800</v>
      </c>
      <c r="Q10" s="60"/>
      <c r="R10" s="240">
        <f t="shared" ref="R10:R30" si="2">J10+N10+P10</f>
        <v>-24237200</v>
      </c>
      <c r="S10" s="60"/>
      <c r="T10" s="240">
        <f t="shared" ref="T10:T30" si="3">C10+R10</f>
        <v>81330222</v>
      </c>
    </row>
    <row r="11" spans="1:25">
      <c r="A11" s="184" t="s">
        <v>3</v>
      </c>
      <c r="B11" s="184"/>
      <c r="C11" s="184">
        <f>'(B) Base Bud Adj'!N11</f>
        <v>70769182</v>
      </c>
      <c r="D11" s="184"/>
      <c r="E11" s="289">
        <v>-800000</v>
      </c>
      <c r="F11" s="194">
        <v>-3526000</v>
      </c>
      <c r="G11" s="429">
        <v>-4612000</v>
      </c>
      <c r="H11" s="194">
        <v>-5182000</v>
      </c>
      <c r="I11" s="194"/>
      <c r="J11" s="448">
        <f t="shared" si="1"/>
        <v>-14120000</v>
      </c>
      <c r="K11" s="194"/>
      <c r="L11" s="240">
        <f t="shared" si="0"/>
        <v>56649182</v>
      </c>
      <c r="M11" s="284"/>
      <c r="N11" s="440">
        <f>'(D) Tuition Revenue'!AH11</f>
        <v>-4884000</v>
      </c>
      <c r="O11" s="440"/>
      <c r="P11" s="440">
        <f>'(F) SUG '!L11</f>
        <v>8001700</v>
      </c>
      <c r="Q11" s="60"/>
      <c r="R11" s="240">
        <f t="shared" si="2"/>
        <v>-11002300</v>
      </c>
      <c r="S11" s="60"/>
      <c r="T11" s="240">
        <f t="shared" si="3"/>
        <v>59766882</v>
      </c>
    </row>
    <row r="12" spans="1:25">
      <c r="A12" s="184" t="s">
        <v>29</v>
      </c>
      <c r="B12" s="184"/>
      <c r="C12" s="184">
        <f>'(B) Base Bud Adj'!N12</f>
        <v>80237841</v>
      </c>
      <c r="D12" s="184"/>
      <c r="E12" s="289">
        <v>-866000</v>
      </c>
      <c r="F12" s="194">
        <v>-3712000</v>
      </c>
      <c r="G12" s="429">
        <v>-4847000</v>
      </c>
      <c r="H12" s="194">
        <v>-8455000</v>
      </c>
      <c r="I12" s="194"/>
      <c r="J12" s="448">
        <f t="shared" si="1"/>
        <v>-17880000</v>
      </c>
      <c r="K12" s="194"/>
      <c r="L12" s="240">
        <f t="shared" si="0"/>
        <v>62357841</v>
      </c>
      <c r="M12" s="284"/>
      <c r="N12" s="440">
        <f>'(D) Tuition Revenue'!AH12</f>
        <v>-5128000</v>
      </c>
      <c r="O12" s="440"/>
      <c r="P12" s="440">
        <f>'(F) SUG '!L12</f>
        <v>6792100</v>
      </c>
      <c r="Q12" s="60"/>
      <c r="R12" s="240">
        <f t="shared" si="2"/>
        <v>-16215900</v>
      </c>
      <c r="S12" s="60"/>
      <c r="T12" s="240">
        <f t="shared" si="3"/>
        <v>64021941</v>
      </c>
    </row>
    <row r="13" spans="1:25">
      <c r="A13" s="184" t="s">
        <v>4</v>
      </c>
      <c r="B13" s="184"/>
      <c r="C13" s="184">
        <f>'(B) Base Bud Adj'!N13</f>
        <v>138262022</v>
      </c>
      <c r="D13" s="184"/>
      <c r="E13" s="289">
        <v>-1359000</v>
      </c>
      <c r="F13" s="194">
        <v>-5857000</v>
      </c>
      <c r="G13" s="429">
        <v>-7663000</v>
      </c>
      <c r="H13" s="194">
        <v>-17204000</v>
      </c>
      <c r="I13" s="194"/>
      <c r="J13" s="448">
        <f t="shared" si="1"/>
        <v>-32083000</v>
      </c>
      <c r="K13" s="194"/>
      <c r="L13" s="240">
        <f t="shared" si="0"/>
        <v>106179022</v>
      </c>
      <c r="M13" s="284"/>
      <c r="N13" s="440">
        <f>'(D) Tuition Revenue'!AH13</f>
        <v>-7812000</v>
      </c>
      <c r="O13" s="440"/>
      <c r="P13" s="440">
        <f>'(F) SUG '!L13</f>
        <v>7556800</v>
      </c>
      <c r="Q13" s="60"/>
      <c r="R13" s="240">
        <f t="shared" si="2"/>
        <v>-32338200</v>
      </c>
      <c r="S13" s="60"/>
      <c r="T13" s="240">
        <f t="shared" si="3"/>
        <v>105923822</v>
      </c>
    </row>
    <row r="14" spans="1:25">
      <c r="A14" s="184" t="s">
        <v>5</v>
      </c>
      <c r="B14" s="184"/>
      <c r="C14" s="184">
        <f>'(B) Base Bud Adj'!N14</f>
        <v>163541161</v>
      </c>
      <c r="D14" s="184"/>
      <c r="E14" s="289">
        <v>-2223000</v>
      </c>
      <c r="F14" s="194">
        <v>-9880000</v>
      </c>
      <c r="G14" s="429">
        <v>-12917000</v>
      </c>
      <c r="H14" s="194">
        <v>-19281000</v>
      </c>
      <c r="I14" s="194"/>
      <c r="J14" s="448">
        <f t="shared" si="1"/>
        <v>-44301000</v>
      </c>
      <c r="K14" s="194"/>
      <c r="L14" s="240">
        <f t="shared" si="0"/>
        <v>119240161</v>
      </c>
      <c r="M14" s="284"/>
      <c r="N14" s="440">
        <f>'(D) Tuition Revenue'!AH14</f>
        <v>-13937000</v>
      </c>
      <c r="O14" s="440"/>
      <c r="P14" s="440">
        <f>'(F) SUG '!L14</f>
        <v>10782800</v>
      </c>
      <c r="Q14" s="60"/>
      <c r="R14" s="240">
        <f t="shared" si="2"/>
        <v>-47455200</v>
      </c>
      <c r="S14" s="60"/>
      <c r="T14" s="240">
        <f t="shared" si="3"/>
        <v>116085961</v>
      </c>
    </row>
    <row r="15" spans="1:25">
      <c r="A15" s="184" t="s">
        <v>6</v>
      </c>
      <c r="B15" s="184"/>
      <c r="C15" s="184">
        <f>'(B) Base Bud Adj'!N15</f>
        <v>72296450</v>
      </c>
      <c r="D15" s="184"/>
      <c r="E15" s="289">
        <v>-500000</v>
      </c>
      <c r="F15" s="194">
        <v>-2172000</v>
      </c>
      <c r="G15" s="429">
        <v>-2846000</v>
      </c>
      <c r="H15" s="194">
        <v>-7563000</v>
      </c>
      <c r="I15" s="194"/>
      <c r="J15" s="448">
        <f t="shared" si="1"/>
        <v>-13081000</v>
      </c>
      <c r="K15" s="194"/>
      <c r="L15" s="240">
        <f t="shared" si="0"/>
        <v>59215450</v>
      </c>
      <c r="M15" s="284"/>
      <c r="N15" s="440">
        <f>'(D) Tuition Revenue'!AH15</f>
        <v>-2972000</v>
      </c>
      <c r="O15" s="440"/>
      <c r="P15" s="440">
        <f>'(F) SUG '!L15</f>
        <v>3164900</v>
      </c>
      <c r="Q15" s="60"/>
      <c r="R15" s="240">
        <f t="shared" si="2"/>
        <v>-12888100</v>
      </c>
      <c r="S15" s="60"/>
      <c r="T15" s="240">
        <f t="shared" si="3"/>
        <v>59408350</v>
      </c>
    </row>
    <row r="16" spans="1:25">
      <c r="A16" s="184" t="s">
        <v>7</v>
      </c>
      <c r="B16" s="184"/>
      <c r="C16" s="184">
        <f>'(B) Base Bud Adj'!N16</f>
        <v>180658136.16</v>
      </c>
      <c r="D16" s="184"/>
      <c r="E16" s="289">
        <v>-2253000</v>
      </c>
      <c r="F16" s="194">
        <v>-9684000</v>
      </c>
      <c r="G16" s="429">
        <v>-12661000</v>
      </c>
      <c r="H16" s="194">
        <v>-22802000</v>
      </c>
      <c r="I16" s="194"/>
      <c r="J16" s="448">
        <f t="shared" si="1"/>
        <v>-47400000</v>
      </c>
      <c r="K16" s="194"/>
      <c r="L16" s="240">
        <f t="shared" si="0"/>
        <v>133258136.16</v>
      </c>
      <c r="M16" s="284"/>
      <c r="N16" s="440">
        <f>'(D) Tuition Revenue'!AH16</f>
        <v>-12817000</v>
      </c>
      <c r="O16" s="440"/>
      <c r="P16" s="440">
        <f>'(F) SUG '!L16</f>
        <v>10953900</v>
      </c>
      <c r="Q16" s="60"/>
      <c r="R16" s="240">
        <f t="shared" si="2"/>
        <v>-49263100</v>
      </c>
      <c r="S16" s="60"/>
      <c r="T16" s="240">
        <f t="shared" si="3"/>
        <v>131395036.16</v>
      </c>
    </row>
    <row r="17" spans="1:20">
      <c r="A17" s="184" t="s">
        <v>8</v>
      </c>
      <c r="B17" s="184"/>
      <c r="C17" s="184">
        <f>'(B) Base Bud Adj'!N17</f>
        <v>121831529</v>
      </c>
      <c r="D17" s="184"/>
      <c r="E17" s="289">
        <v>-1273000</v>
      </c>
      <c r="F17" s="194">
        <v>-5456000</v>
      </c>
      <c r="G17" s="429">
        <v>-7123000</v>
      </c>
      <c r="H17" s="194">
        <v>-13004000</v>
      </c>
      <c r="I17" s="194"/>
      <c r="J17" s="448">
        <f t="shared" si="1"/>
        <v>-26856000</v>
      </c>
      <c r="K17" s="194"/>
      <c r="L17" s="240">
        <f t="shared" si="0"/>
        <v>94975529</v>
      </c>
      <c r="M17" s="284"/>
      <c r="N17" s="440">
        <f>'(D) Tuition Revenue'!AH17</f>
        <v>-7577000</v>
      </c>
      <c r="O17" s="440"/>
      <c r="P17" s="440">
        <f>'(F) SUG '!L17</f>
        <v>9475600</v>
      </c>
      <c r="Q17" s="60"/>
      <c r="R17" s="240">
        <f t="shared" si="2"/>
        <v>-24957400</v>
      </c>
      <c r="S17" s="60"/>
      <c r="T17" s="240">
        <f t="shared" si="3"/>
        <v>96874129</v>
      </c>
    </row>
    <row r="18" spans="1:20">
      <c r="A18" s="184" t="s">
        <v>9</v>
      </c>
      <c r="B18" s="184"/>
      <c r="C18" s="184">
        <f>'(B) Base Bud Adj'!N18</f>
        <v>21303251</v>
      </c>
      <c r="D18" s="184"/>
      <c r="E18" s="289">
        <v>-50000</v>
      </c>
      <c r="F18" s="194">
        <v>-233000</v>
      </c>
      <c r="G18" s="429">
        <v>-309000</v>
      </c>
      <c r="H18" s="194">
        <v>0</v>
      </c>
      <c r="I18" s="194"/>
      <c r="J18" s="448">
        <f t="shared" si="1"/>
        <v>-592000</v>
      </c>
      <c r="K18" s="194"/>
      <c r="L18" s="240">
        <f t="shared" si="0"/>
        <v>20711251</v>
      </c>
      <c r="M18" s="284"/>
      <c r="N18" s="440">
        <f>'(D) Tuition Revenue'!AH18</f>
        <v>-379000</v>
      </c>
      <c r="O18" s="440"/>
      <c r="P18" s="440">
        <f>'(F) SUG '!L18</f>
        <v>775500</v>
      </c>
      <c r="Q18" s="60"/>
      <c r="R18" s="240">
        <f t="shared" si="2"/>
        <v>-195500</v>
      </c>
      <c r="S18" s="60"/>
      <c r="T18" s="240">
        <f t="shared" si="3"/>
        <v>21107751</v>
      </c>
    </row>
    <row r="19" spans="1:20">
      <c r="A19" s="184" t="s">
        <v>10</v>
      </c>
      <c r="B19" s="184"/>
      <c r="C19" s="184">
        <f>'(B) Base Bud Adj'!N19</f>
        <v>56749523</v>
      </c>
      <c r="D19" s="184"/>
      <c r="E19" s="289">
        <v>-278000</v>
      </c>
      <c r="F19" s="194">
        <v>-1351000</v>
      </c>
      <c r="G19" s="429">
        <v>-1770000</v>
      </c>
      <c r="H19" s="194">
        <f>-5264000+1764000</f>
        <v>-3500000</v>
      </c>
      <c r="I19" s="194"/>
      <c r="J19" s="448">
        <f t="shared" si="1"/>
        <v>-6899000</v>
      </c>
      <c r="K19" s="194"/>
      <c r="L19" s="240">
        <f t="shared" si="0"/>
        <v>49850523</v>
      </c>
      <c r="M19" s="284"/>
      <c r="N19" s="440">
        <f>'(D) Tuition Revenue'!AH19</f>
        <v>-2347000</v>
      </c>
      <c r="O19" s="440"/>
      <c r="P19" s="440">
        <f>'(F) SUG '!L19</f>
        <v>3835900</v>
      </c>
      <c r="Q19" s="60"/>
      <c r="R19" s="240">
        <f t="shared" si="2"/>
        <v>-5410100</v>
      </c>
      <c r="S19" s="60"/>
      <c r="T19" s="240">
        <f t="shared" si="3"/>
        <v>51339423</v>
      </c>
    </row>
    <row r="20" spans="1:20">
      <c r="A20" s="184" t="s">
        <v>11</v>
      </c>
      <c r="B20" s="184"/>
      <c r="C20" s="184">
        <f>'(B) Base Bud Adj'!N20</f>
        <v>177575646</v>
      </c>
      <c r="D20" s="184"/>
      <c r="E20" s="289">
        <v>-2169000</v>
      </c>
      <c r="F20" s="194">
        <v>-9562000</v>
      </c>
      <c r="G20" s="429">
        <v>-12508000</v>
      </c>
      <c r="H20" s="194">
        <v>-21145000</v>
      </c>
      <c r="I20" s="194"/>
      <c r="J20" s="448">
        <f t="shared" si="1"/>
        <v>-45384000</v>
      </c>
      <c r="K20" s="194"/>
      <c r="L20" s="240">
        <f t="shared" si="0"/>
        <v>132191646</v>
      </c>
      <c r="M20" s="284"/>
      <c r="N20" s="440">
        <f>'(D) Tuition Revenue'!AH20</f>
        <v>-13298000</v>
      </c>
      <c r="O20" s="440"/>
      <c r="P20" s="440">
        <f>'(F) SUG '!L20</f>
        <v>12451700</v>
      </c>
      <c r="Q20" s="60"/>
      <c r="R20" s="240">
        <f t="shared" si="2"/>
        <v>-46230300</v>
      </c>
      <c r="S20" s="60"/>
      <c r="T20" s="240">
        <f t="shared" si="3"/>
        <v>131345346</v>
      </c>
    </row>
    <row r="21" spans="1:20">
      <c r="A21" s="184" t="s">
        <v>12</v>
      </c>
      <c r="B21" s="184"/>
      <c r="C21" s="184">
        <f>'(B) Base Bud Adj'!N21</f>
        <v>128234962</v>
      </c>
      <c r="D21" s="184"/>
      <c r="E21" s="289">
        <v>-1420000</v>
      </c>
      <c r="F21" s="194">
        <v>-6090000</v>
      </c>
      <c r="G21" s="429">
        <v>-7970000</v>
      </c>
      <c r="H21" s="194">
        <v>-16132000</v>
      </c>
      <c r="I21" s="194"/>
      <c r="J21" s="448">
        <f t="shared" si="1"/>
        <v>-31612000</v>
      </c>
      <c r="K21" s="194"/>
      <c r="L21" s="240">
        <f t="shared" si="0"/>
        <v>96622962</v>
      </c>
      <c r="M21" s="284"/>
      <c r="N21" s="440">
        <f>'(D) Tuition Revenue'!AH21</f>
        <v>-8045000</v>
      </c>
      <c r="O21" s="440"/>
      <c r="P21" s="440">
        <f>'(F) SUG '!L21</f>
        <v>8066100</v>
      </c>
      <c r="Q21" s="60"/>
      <c r="R21" s="240">
        <f>J21+N21+P21</f>
        <v>-31590900</v>
      </c>
      <c r="S21" s="60"/>
      <c r="T21" s="240">
        <f t="shared" si="3"/>
        <v>96644062</v>
      </c>
    </row>
    <row r="22" spans="1:20">
      <c r="A22" s="184" t="s">
        <v>13</v>
      </c>
      <c r="B22" s="184"/>
      <c r="C22" s="184">
        <f>'(B) Base Bud Adj'!N22</f>
        <v>143363877</v>
      </c>
      <c r="D22" s="184"/>
      <c r="E22" s="289">
        <v>-1746000</v>
      </c>
      <c r="F22" s="194">
        <v>-7386000</v>
      </c>
      <c r="G22" s="429">
        <v>-9665000</v>
      </c>
      <c r="H22" s="194">
        <v>-17840000</v>
      </c>
      <c r="I22" s="194"/>
      <c r="J22" s="448">
        <f t="shared" si="1"/>
        <v>-36637000</v>
      </c>
      <c r="K22" s="194"/>
      <c r="L22" s="240">
        <f t="shared" si="0"/>
        <v>106726877</v>
      </c>
      <c r="M22" s="284"/>
      <c r="N22" s="440">
        <f>'(D) Tuition Revenue'!AH22</f>
        <v>-9454000</v>
      </c>
      <c r="O22" s="440"/>
      <c r="P22" s="440">
        <f>'(F) SUG '!L22</f>
        <v>10153800</v>
      </c>
      <c r="Q22" s="60"/>
      <c r="R22" s="240">
        <f t="shared" si="2"/>
        <v>-35937200</v>
      </c>
      <c r="S22" s="60"/>
      <c r="T22" s="240">
        <f t="shared" si="3"/>
        <v>107426677</v>
      </c>
    </row>
    <row r="23" spans="1:20">
      <c r="A23" s="184" t="s">
        <v>14</v>
      </c>
      <c r="B23" s="184"/>
      <c r="C23" s="184">
        <f>'(B) Base Bud Adj'!N23</f>
        <v>96850278</v>
      </c>
      <c r="D23" s="184"/>
      <c r="E23" s="289">
        <v>-1147000</v>
      </c>
      <c r="F23" s="194">
        <v>-4899000</v>
      </c>
      <c r="G23" s="429">
        <v>-6409000</v>
      </c>
      <c r="H23" s="194">
        <v>-9374000</v>
      </c>
      <c r="I23" s="194"/>
      <c r="J23" s="448">
        <f>SUM(E23:I23)</f>
        <v>-21829000</v>
      </c>
      <c r="K23" s="194"/>
      <c r="L23" s="240">
        <f t="shared" si="0"/>
        <v>75021278</v>
      </c>
      <c r="M23" s="284"/>
      <c r="N23" s="440">
        <f>'(D) Tuition Revenue'!AH23</f>
        <v>-6446000</v>
      </c>
      <c r="O23" s="440"/>
      <c r="P23" s="440">
        <f>'(F) SUG '!L23</f>
        <v>7201600</v>
      </c>
      <c r="Q23" s="60"/>
      <c r="R23" s="240">
        <f t="shared" si="2"/>
        <v>-21073400</v>
      </c>
      <c r="S23" s="60"/>
      <c r="T23" s="240">
        <f t="shared" si="3"/>
        <v>75776878</v>
      </c>
    </row>
    <row r="24" spans="1:20">
      <c r="A24" s="184" t="s">
        <v>15</v>
      </c>
      <c r="B24" s="184"/>
      <c r="C24" s="184">
        <f>'(B) Base Bud Adj'!N24</f>
        <v>183924946</v>
      </c>
      <c r="D24" s="184"/>
      <c r="E24" s="289">
        <v>-2045000</v>
      </c>
      <c r="F24" s="194">
        <v>-8406000</v>
      </c>
      <c r="G24" s="429">
        <v>-11015000</v>
      </c>
      <c r="H24" s="194">
        <v>-26695000</v>
      </c>
      <c r="I24" s="194"/>
      <c r="J24" s="448">
        <f t="shared" si="1"/>
        <v>-48161000</v>
      </c>
      <c r="K24" s="194"/>
      <c r="L24" s="240">
        <f t="shared" si="0"/>
        <v>135763946</v>
      </c>
      <c r="M24" s="284"/>
      <c r="N24" s="440">
        <f>'(D) Tuition Revenue'!AH24</f>
        <v>-10382000</v>
      </c>
      <c r="O24" s="440"/>
      <c r="P24" s="440">
        <f>'(F) SUG '!L24</f>
        <v>8559300</v>
      </c>
      <c r="Q24" s="60"/>
      <c r="R24" s="240">
        <f t="shared" si="2"/>
        <v>-49983700</v>
      </c>
      <c r="S24" s="60"/>
      <c r="T24" s="240">
        <f t="shared" si="3"/>
        <v>133941246</v>
      </c>
    </row>
    <row r="25" spans="1:20">
      <c r="A25" s="184" t="s">
        <v>16</v>
      </c>
      <c r="B25" s="184"/>
      <c r="C25" s="184">
        <f>'(B) Base Bud Adj'!N25</f>
        <v>152464539</v>
      </c>
      <c r="D25" s="184"/>
      <c r="E25" s="289">
        <v>-1894000</v>
      </c>
      <c r="F25" s="194">
        <v>-8292000</v>
      </c>
      <c r="G25" s="429">
        <v>-10844000</v>
      </c>
      <c r="H25" s="194">
        <v>-17847000</v>
      </c>
      <c r="I25" s="194"/>
      <c r="J25" s="448">
        <f t="shared" si="1"/>
        <v>-38877000</v>
      </c>
      <c r="K25" s="194"/>
      <c r="L25" s="240">
        <f t="shared" si="0"/>
        <v>113587539</v>
      </c>
      <c r="M25" s="284"/>
      <c r="N25" s="440">
        <f>'(D) Tuition Revenue'!AH25</f>
        <v>-11377000</v>
      </c>
      <c r="O25" s="440"/>
      <c r="P25" s="440">
        <f>'(F) SUG '!L25</f>
        <v>9576900</v>
      </c>
      <c r="Q25" s="60"/>
      <c r="R25" s="240">
        <f t="shared" si="2"/>
        <v>-40677100</v>
      </c>
      <c r="S25" s="60"/>
      <c r="T25" s="240">
        <f t="shared" si="3"/>
        <v>111787439</v>
      </c>
    </row>
    <row r="26" spans="1:20">
      <c r="A26" s="184" t="s">
        <v>17</v>
      </c>
      <c r="B26" s="184"/>
      <c r="C26" s="184">
        <f>'(B) Base Bud Adj'!N26</f>
        <v>142644322</v>
      </c>
      <c r="D26" s="184"/>
      <c r="E26" s="289">
        <v>-1935000</v>
      </c>
      <c r="F26" s="194">
        <v>-8161000</v>
      </c>
      <c r="G26" s="429">
        <v>-10665000</v>
      </c>
      <c r="H26" s="194">
        <v>-18672000</v>
      </c>
      <c r="I26" s="194"/>
      <c r="J26" s="448">
        <f t="shared" si="1"/>
        <v>-39433000</v>
      </c>
      <c r="K26" s="194"/>
      <c r="L26" s="240">
        <f t="shared" si="0"/>
        <v>103211322</v>
      </c>
      <c r="M26" s="284"/>
      <c r="N26" s="440">
        <f>'(D) Tuition Revenue'!AH26</f>
        <v>-10333000</v>
      </c>
      <c r="O26" s="440"/>
      <c r="P26" s="440">
        <f>'(F) SUG '!L26</f>
        <v>8234800</v>
      </c>
      <c r="Q26" s="60"/>
      <c r="R26" s="240">
        <f t="shared" si="2"/>
        <v>-41531200</v>
      </c>
      <c r="S26" s="60"/>
      <c r="T26" s="240">
        <f t="shared" si="3"/>
        <v>101113122</v>
      </c>
    </row>
    <row r="27" spans="1:20">
      <c r="A27" s="184" t="s">
        <v>18</v>
      </c>
      <c r="B27" s="184"/>
      <c r="C27" s="184">
        <f>'(B) Base Bud Adj'!N27</f>
        <v>123823438</v>
      </c>
      <c r="D27" s="184"/>
      <c r="E27" s="289">
        <v>-1231000</v>
      </c>
      <c r="F27" s="194">
        <v>-5064000</v>
      </c>
      <c r="G27" s="429">
        <v>-6635000</v>
      </c>
      <c r="H27" s="194">
        <v>-18588000</v>
      </c>
      <c r="I27" s="194"/>
      <c r="J27" s="448">
        <f t="shared" si="1"/>
        <v>-31518000</v>
      </c>
      <c r="K27" s="194"/>
      <c r="L27" s="240">
        <f t="shared" si="0"/>
        <v>92305438</v>
      </c>
      <c r="M27" s="284"/>
      <c r="N27" s="440">
        <f>'(D) Tuition Revenue'!AH27</f>
        <v>-6013000</v>
      </c>
      <c r="O27" s="440"/>
      <c r="P27" s="440">
        <f>'(F) SUG '!L27</f>
        <v>3251000</v>
      </c>
      <c r="Q27" s="60"/>
      <c r="R27" s="240">
        <f t="shared" si="2"/>
        <v>-34280000</v>
      </c>
      <c r="S27" s="60"/>
      <c r="T27" s="240">
        <f t="shared" si="3"/>
        <v>89543438</v>
      </c>
    </row>
    <row r="28" spans="1:20">
      <c r="A28" s="184" t="s">
        <v>19</v>
      </c>
      <c r="B28" s="184"/>
      <c r="C28" s="184">
        <f>'(B) Base Bud Adj'!N28</f>
        <v>63785182</v>
      </c>
      <c r="D28" s="184"/>
      <c r="E28" s="289">
        <v>-604000</v>
      </c>
      <c r="F28" s="194">
        <v>-2679000</v>
      </c>
      <c r="G28" s="429">
        <v>-3511000</v>
      </c>
      <c r="H28" s="194">
        <v>-6094000</v>
      </c>
      <c r="I28" s="194"/>
      <c r="J28" s="448">
        <f t="shared" si="1"/>
        <v>-12888000</v>
      </c>
      <c r="K28" s="194"/>
      <c r="L28" s="240">
        <f t="shared" si="0"/>
        <v>50897182</v>
      </c>
      <c r="M28" s="284"/>
      <c r="N28" s="440">
        <f>'(D) Tuition Revenue'!AH28</f>
        <v>-3784000</v>
      </c>
      <c r="O28" s="440"/>
      <c r="P28" s="440">
        <f>'(F) SUG '!L28</f>
        <v>4720300</v>
      </c>
      <c r="Q28" s="60"/>
      <c r="R28" s="240">
        <f t="shared" si="2"/>
        <v>-11951700</v>
      </c>
      <c r="S28" s="60"/>
      <c r="T28" s="240">
        <f t="shared" si="3"/>
        <v>51833482</v>
      </c>
    </row>
    <row r="29" spans="1:20">
      <c r="A29" s="184" t="s">
        <v>20</v>
      </c>
      <c r="B29" s="184"/>
      <c r="C29" s="184">
        <f>'(B) Base Bud Adj'!N29</f>
        <v>58490023</v>
      </c>
      <c r="D29" s="184"/>
      <c r="E29" s="289">
        <v>-556000</v>
      </c>
      <c r="F29" s="194">
        <v>-2409000</v>
      </c>
      <c r="G29" s="429">
        <v>-3152000</v>
      </c>
      <c r="H29" s="194">
        <v>-5887000</v>
      </c>
      <c r="I29" s="194"/>
      <c r="J29" s="448">
        <f t="shared" si="1"/>
        <v>-12004000</v>
      </c>
      <c r="K29" s="194"/>
      <c r="L29" s="240">
        <f t="shared" si="0"/>
        <v>46486023</v>
      </c>
      <c r="M29" s="284"/>
      <c r="N29" s="440">
        <f>'(D) Tuition Revenue'!AH29</f>
        <v>-3270000</v>
      </c>
      <c r="O29" s="440"/>
      <c r="P29" s="440">
        <f>'(F) SUG '!L29</f>
        <v>3095400</v>
      </c>
      <c r="Q29" s="60"/>
      <c r="R29" s="240">
        <f t="shared" si="2"/>
        <v>-12178600</v>
      </c>
      <c r="S29" s="60"/>
      <c r="T29" s="240">
        <f t="shared" si="3"/>
        <v>46311423</v>
      </c>
    </row>
    <row r="30" spans="1:20">
      <c r="A30" s="184" t="s">
        <v>21</v>
      </c>
      <c r="B30" s="184"/>
      <c r="C30" s="184">
        <f>'(B) Base Bud Adj'!N30</f>
        <v>56253297</v>
      </c>
      <c r="D30" s="184"/>
      <c r="E30" s="289">
        <v>-504000</v>
      </c>
      <c r="F30" s="194">
        <v>-2102000</v>
      </c>
      <c r="G30" s="429">
        <v>-2748000</v>
      </c>
      <c r="H30" s="194">
        <v>-4961000</v>
      </c>
      <c r="I30" s="194"/>
      <c r="J30" s="448">
        <f t="shared" si="1"/>
        <v>-10315000</v>
      </c>
      <c r="K30" s="194"/>
      <c r="L30" s="240">
        <f t="shared" si="0"/>
        <v>45938297</v>
      </c>
      <c r="M30" s="284"/>
      <c r="N30" s="440">
        <f>'(D) Tuition Revenue'!AH30</f>
        <v>-2531000</v>
      </c>
      <c r="O30" s="440"/>
      <c r="P30" s="440">
        <f>'(F) SUG '!L30</f>
        <v>3145000</v>
      </c>
      <c r="Q30" s="60"/>
      <c r="R30" s="240">
        <f t="shared" si="2"/>
        <v>-9701000</v>
      </c>
      <c r="S30" s="60"/>
      <c r="T30" s="240">
        <f t="shared" si="3"/>
        <v>46552297</v>
      </c>
    </row>
    <row r="31" spans="1:20" ht="9" customHeight="1">
      <c r="A31" s="184"/>
      <c r="B31" s="184"/>
      <c r="C31" s="184"/>
      <c r="D31" s="184"/>
      <c r="E31" s="289"/>
      <c r="F31" s="194"/>
      <c r="G31" s="429"/>
      <c r="H31" s="194"/>
      <c r="I31" s="194"/>
      <c r="J31" s="448"/>
      <c r="K31" s="194"/>
      <c r="L31" s="240"/>
      <c r="M31" s="194"/>
      <c r="N31" s="441"/>
      <c r="O31" s="441"/>
      <c r="P31" s="441"/>
      <c r="Q31" s="40"/>
      <c r="R31" s="240"/>
      <c r="S31" s="40"/>
      <c r="T31" s="240"/>
    </row>
    <row r="32" spans="1:20">
      <c r="A32" s="196" t="s">
        <v>22</v>
      </c>
      <c r="B32" s="196"/>
      <c r="C32" s="303">
        <f>SUM(C8:C31)</f>
        <v>2444223736.1599998</v>
      </c>
      <c r="D32" s="196"/>
      <c r="E32" s="290">
        <f>SUM(E8:E31)</f>
        <v>-26640000</v>
      </c>
      <c r="F32" s="185">
        <f>SUM(F8:F30)</f>
        <v>-114665000</v>
      </c>
      <c r="G32" s="430">
        <f>SUM(G8:G30)</f>
        <v>-150000000</v>
      </c>
      <c r="H32" s="185">
        <f>SUM(H8:H31)</f>
        <v>-280530000</v>
      </c>
      <c r="I32" s="185"/>
      <c r="J32" s="449">
        <f>SUM(J8:J31)</f>
        <v>-571835000</v>
      </c>
      <c r="K32" s="185"/>
      <c r="L32" s="241">
        <f>SUM(L8:L30)</f>
        <v>1872388736.1599998</v>
      </c>
      <c r="M32" s="185"/>
      <c r="N32" s="442">
        <f>SUM(N8:N31)</f>
        <v>-153383000</v>
      </c>
      <c r="O32" s="442"/>
      <c r="P32" s="442">
        <f>SUM(P8:P31)</f>
        <v>153383000</v>
      </c>
      <c r="Q32" s="38"/>
      <c r="R32" s="241">
        <f>SUM(R8:R30)</f>
        <v>-571835000</v>
      </c>
      <c r="S32" s="38"/>
      <c r="T32" s="241">
        <f>SUM(T8:T30)</f>
        <v>1872388736.1599998</v>
      </c>
    </row>
    <row r="33" spans="1:25" ht="9" customHeight="1">
      <c r="A33" s="184"/>
      <c r="B33" s="184"/>
      <c r="C33" s="184"/>
      <c r="D33" s="184"/>
      <c r="E33" s="289"/>
      <c r="F33" s="194"/>
      <c r="G33" s="429"/>
      <c r="H33" s="194"/>
      <c r="I33" s="194"/>
      <c r="J33" s="448"/>
      <c r="K33" s="194"/>
      <c r="L33" s="240"/>
      <c r="M33" s="194"/>
      <c r="N33" s="441"/>
      <c r="O33" s="441"/>
      <c r="P33" s="441"/>
      <c r="Q33" s="40"/>
      <c r="R33" s="240"/>
      <c r="S33" s="40"/>
      <c r="T33" s="240"/>
    </row>
    <row r="34" spans="1:25">
      <c r="A34" s="182" t="s">
        <v>23</v>
      </c>
      <c r="B34" s="182"/>
      <c r="C34" s="182">
        <f>'(B) Base Bud Adj'!N34</f>
        <v>75270802</v>
      </c>
      <c r="D34" s="182"/>
      <c r="E34" s="289">
        <v>0</v>
      </c>
      <c r="F34" s="194">
        <v>0</v>
      </c>
      <c r="G34" s="429">
        <v>0</v>
      </c>
      <c r="H34" s="194">
        <v>-10837000</v>
      </c>
      <c r="I34" s="194"/>
      <c r="J34" s="448">
        <f>SUM(E34:I34)</f>
        <v>-10837000</v>
      </c>
      <c r="K34" s="194"/>
      <c r="L34" s="240">
        <f>C34+J34</f>
        <v>64433802</v>
      </c>
      <c r="M34" s="194"/>
      <c r="N34" s="440">
        <f>'(D) Tuition Revenue'!AH34</f>
        <v>0</v>
      </c>
      <c r="O34" s="443"/>
      <c r="P34" s="443">
        <v>0</v>
      </c>
      <c r="Q34" s="26"/>
      <c r="R34" s="240">
        <f t="shared" ref="R34:R38" si="4">J34+N34+P34</f>
        <v>-10837000</v>
      </c>
      <c r="S34" s="26"/>
      <c r="T34" s="240">
        <f>C34+R34</f>
        <v>64433802</v>
      </c>
    </row>
    <row r="35" spans="1:25">
      <c r="A35" s="182" t="s">
        <v>30</v>
      </c>
      <c r="B35" s="182"/>
      <c r="C35" s="182">
        <f>'(B) Base Bud Adj'!N35</f>
        <v>981735</v>
      </c>
      <c r="D35" s="182"/>
      <c r="E35" s="289">
        <v>0</v>
      </c>
      <c r="F35" s="194">
        <v>0</v>
      </c>
      <c r="G35" s="429">
        <v>0</v>
      </c>
      <c r="H35" s="194">
        <v>0</v>
      </c>
      <c r="I35" s="194"/>
      <c r="J35" s="448">
        <f t="shared" ref="J35:J37" si="5">SUM(E35:I35)</f>
        <v>0</v>
      </c>
      <c r="K35" s="194"/>
      <c r="L35" s="240">
        <f>C35+J35</f>
        <v>981735</v>
      </c>
      <c r="M35" s="194"/>
      <c r="N35" s="440">
        <f>'(D) Tuition Revenue'!AH35</f>
        <v>0</v>
      </c>
      <c r="O35" s="443"/>
      <c r="P35" s="443">
        <v>0</v>
      </c>
      <c r="Q35" s="26"/>
      <c r="R35" s="240">
        <f t="shared" si="4"/>
        <v>0</v>
      </c>
      <c r="S35" s="26"/>
      <c r="T35" s="240">
        <f t="shared" ref="T35:T38" si="6">C35+R35</f>
        <v>981735</v>
      </c>
    </row>
    <row r="36" spans="1:25">
      <c r="A36" s="182" t="s">
        <v>24</v>
      </c>
      <c r="B36" s="182"/>
      <c r="C36" s="182">
        <f>'(B) Base Bud Adj'!N36</f>
        <v>2269496</v>
      </c>
      <c r="D36" s="182"/>
      <c r="E36" s="289">
        <v>0</v>
      </c>
      <c r="F36" s="194">
        <v>0</v>
      </c>
      <c r="G36" s="429">
        <v>0</v>
      </c>
      <c r="H36" s="194">
        <v>0</v>
      </c>
      <c r="I36" s="194"/>
      <c r="J36" s="448">
        <f t="shared" si="5"/>
        <v>0</v>
      </c>
      <c r="K36" s="194"/>
      <c r="L36" s="240">
        <f>C36+J36</f>
        <v>2269496</v>
      </c>
      <c r="M36" s="194"/>
      <c r="N36" s="440">
        <f>'(D) Tuition Revenue'!AH36</f>
        <v>0</v>
      </c>
      <c r="O36" s="443"/>
      <c r="P36" s="443">
        <v>0</v>
      </c>
      <c r="Q36" s="26"/>
      <c r="R36" s="240">
        <f t="shared" si="4"/>
        <v>0</v>
      </c>
      <c r="S36" s="26"/>
      <c r="T36" s="240">
        <f t="shared" si="6"/>
        <v>2269496</v>
      </c>
    </row>
    <row r="37" spans="1:25">
      <c r="A37" s="182" t="s">
        <v>25</v>
      </c>
      <c r="B37" s="182"/>
      <c r="C37" s="182">
        <f>'(B) Base Bud Adj'!N37</f>
        <v>57800</v>
      </c>
      <c r="D37" s="182"/>
      <c r="E37" s="289">
        <v>0</v>
      </c>
      <c r="F37" s="194">
        <v>0</v>
      </c>
      <c r="G37" s="429">
        <v>0</v>
      </c>
      <c r="H37" s="194">
        <v>0</v>
      </c>
      <c r="I37" s="194"/>
      <c r="J37" s="448">
        <f t="shared" si="5"/>
        <v>0</v>
      </c>
      <c r="K37" s="194"/>
      <c r="L37" s="240">
        <f>C37+J37</f>
        <v>57800</v>
      </c>
      <c r="M37" s="194"/>
      <c r="N37" s="440">
        <f>'(D) Tuition Revenue'!AH37</f>
        <v>0</v>
      </c>
      <c r="O37" s="443"/>
      <c r="P37" s="443">
        <v>0</v>
      </c>
      <c r="Q37" s="26"/>
      <c r="R37" s="240">
        <f t="shared" si="4"/>
        <v>0</v>
      </c>
      <c r="S37" s="26"/>
      <c r="T37" s="240">
        <f t="shared" si="6"/>
        <v>57800</v>
      </c>
    </row>
    <row r="38" spans="1:25">
      <c r="A38" s="198" t="s">
        <v>26</v>
      </c>
      <c r="B38" s="198"/>
      <c r="C38" s="182">
        <f>'(B) Base Bud Adj'!N38</f>
        <v>268469431</v>
      </c>
      <c r="D38" s="198"/>
      <c r="E38" s="289">
        <v>0</v>
      </c>
      <c r="F38" s="194">
        <v>0</v>
      </c>
      <c r="G38" s="429">
        <v>0</v>
      </c>
      <c r="H38" s="194">
        <f>-7436000+(7605900-57000-215000-212000-32000-128000-480000-11000)-66362900</f>
        <v>-67328000</v>
      </c>
      <c r="I38" s="194"/>
      <c r="J38" s="448">
        <f>SUM(E38:I38)</f>
        <v>-67328000</v>
      </c>
      <c r="K38" s="194"/>
      <c r="L38" s="240">
        <f>C38+J38</f>
        <v>201141431</v>
      </c>
      <c r="M38" s="194"/>
      <c r="N38" s="440">
        <f>'(D) Tuition Revenue'!AH38</f>
        <v>0</v>
      </c>
      <c r="O38" s="443"/>
      <c r="P38" s="443">
        <v>0</v>
      </c>
      <c r="Q38" s="26"/>
      <c r="R38" s="240">
        <f t="shared" si="4"/>
        <v>-67328000</v>
      </c>
      <c r="S38" s="26"/>
      <c r="T38" s="240">
        <f t="shared" si="6"/>
        <v>201141431</v>
      </c>
    </row>
    <row r="39" spans="1:25" ht="9" customHeight="1">
      <c r="A39" s="199"/>
      <c r="B39" s="199"/>
      <c r="C39" s="199"/>
      <c r="D39" s="199"/>
      <c r="E39" s="291"/>
      <c r="F39" s="279"/>
      <c r="G39" s="431"/>
      <c r="H39" s="279"/>
      <c r="I39" s="279"/>
      <c r="J39" s="450"/>
      <c r="K39" s="194"/>
      <c r="L39" s="282"/>
      <c r="M39" s="194"/>
      <c r="N39" s="441"/>
      <c r="O39" s="441"/>
      <c r="P39" s="441"/>
      <c r="Q39" s="40"/>
      <c r="R39" s="282"/>
      <c r="S39" s="40"/>
      <c r="T39" s="282"/>
    </row>
    <row r="40" spans="1:25" ht="16.5" thickBot="1">
      <c r="A40" s="197" t="s">
        <v>27</v>
      </c>
      <c r="B40" s="197"/>
      <c r="C40" s="304">
        <f>SUM(C32:C39)</f>
        <v>2791273000.1599998</v>
      </c>
      <c r="D40" s="197"/>
      <c r="E40" s="283">
        <f>SUM(E32:E38)</f>
        <v>-26640000</v>
      </c>
      <c r="F40" s="186">
        <f>SUM(F32:F38)</f>
        <v>-114665000</v>
      </c>
      <c r="G40" s="432">
        <f>SUM(G32:G38)</f>
        <v>-150000000</v>
      </c>
      <c r="H40" s="186">
        <f>SUM(H32:H39)</f>
        <v>-358695000</v>
      </c>
      <c r="I40" s="186"/>
      <c r="J40" s="451">
        <f>SUM(J32:J39)</f>
        <v>-650000000</v>
      </c>
      <c r="K40" s="186"/>
      <c r="L40" s="242">
        <f>SUM(L32:L38)</f>
        <v>2141273000.1599998</v>
      </c>
      <c r="M40" s="186"/>
      <c r="N40" s="444">
        <f>SUM(N32:N38)</f>
        <v>-153383000</v>
      </c>
      <c r="O40" s="444"/>
      <c r="P40" s="444">
        <f>SUM(P32:P38)</f>
        <v>153383000</v>
      </c>
      <c r="Q40" s="42"/>
      <c r="R40" s="242">
        <f>SUM(R32:R38)</f>
        <v>-650000000</v>
      </c>
      <c r="S40" s="42"/>
      <c r="T40" s="242">
        <f>SUM(T32:T38)</f>
        <v>2141273000.1599998</v>
      </c>
    </row>
    <row r="41" spans="1:25" ht="9" customHeight="1">
      <c r="F41" s="202"/>
      <c r="G41" s="202"/>
      <c r="H41" s="202"/>
      <c r="I41" s="202"/>
      <c r="J41" s="452"/>
      <c r="K41" s="202"/>
      <c r="L41" s="202"/>
      <c r="M41" s="202"/>
    </row>
    <row r="42" spans="1:25" ht="18" customHeight="1">
      <c r="A42" s="184"/>
      <c r="B42" s="184"/>
      <c r="C42" s="184"/>
      <c r="D42" s="184"/>
      <c r="F42" s="202"/>
      <c r="G42" s="202"/>
      <c r="H42" s="202"/>
      <c r="I42" s="202"/>
      <c r="J42" s="452"/>
      <c r="K42" s="202"/>
      <c r="L42" s="202"/>
      <c r="M42" s="202"/>
    </row>
    <row r="43" spans="1:25">
      <c r="B43" s="184"/>
      <c r="C43" s="184"/>
      <c r="D43" s="184"/>
      <c r="E43" s="202"/>
      <c r="F43" s="202"/>
      <c r="G43" s="202"/>
      <c r="H43" s="317">
        <f>(7605900-57000-215000-212000-32000-128000-480000-11000)</f>
        <v>6470900</v>
      </c>
      <c r="I43" s="202"/>
      <c r="J43" s="452"/>
      <c r="K43" s="202"/>
      <c r="L43" s="202"/>
      <c r="M43" s="202"/>
      <c r="U43" s="202"/>
      <c r="V43" s="202"/>
      <c r="W43" s="202"/>
      <c r="X43" s="202"/>
      <c r="Y43" s="215"/>
    </row>
    <row r="44" spans="1:25">
      <c r="E44" s="202"/>
      <c r="F44" s="202"/>
      <c r="G44" s="202"/>
      <c r="H44" s="202"/>
      <c r="I44" s="202"/>
      <c r="J44" s="452"/>
      <c r="K44" s="202"/>
      <c r="L44" s="202"/>
      <c r="M44" s="202"/>
      <c r="U44" s="202"/>
      <c r="V44" s="202"/>
      <c r="W44" s="202"/>
      <c r="X44" s="202"/>
      <c r="Y44" s="215"/>
    </row>
    <row r="45" spans="1:25">
      <c r="E45" s="202"/>
      <c r="F45" s="202"/>
      <c r="G45" s="202"/>
      <c r="H45" s="202"/>
      <c r="I45" s="202"/>
      <c r="J45" s="452"/>
      <c r="K45" s="202"/>
      <c r="L45" s="202"/>
      <c r="M45" s="202"/>
      <c r="U45" s="202"/>
      <c r="V45" s="202"/>
      <c r="W45" s="202"/>
      <c r="X45" s="202"/>
      <c r="Y45" s="202"/>
    </row>
    <row r="46" spans="1:25">
      <c r="E46" s="202"/>
      <c r="F46" s="202"/>
      <c r="G46" s="202"/>
      <c r="H46" s="202"/>
      <c r="I46" s="202"/>
      <c r="J46" s="452"/>
      <c r="K46" s="202"/>
      <c r="L46" s="202"/>
      <c r="M46" s="202"/>
      <c r="U46" s="202"/>
      <c r="V46" s="202"/>
      <c r="W46" s="202"/>
      <c r="X46" s="202"/>
      <c r="Y46" s="202"/>
    </row>
    <row r="47" spans="1:25">
      <c r="E47" s="202"/>
      <c r="F47" s="202"/>
      <c r="G47" s="202"/>
      <c r="H47" s="202"/>
      <c r="I47" s="202"/>
      <c r="J47" s="452"/>
      <c r="K47" s="202"/>
      <c r="L47" s="202"/>
      <c r="M47" s="202"/>
      <c r="U47" s="202"/>
      <c r="V47" s="202"/>
      <c r="W47" s="202"/>
      <c r="X47" s="202"/>
      <c r="Y47" s="202"/>
    </row>
    <row r="48" spans="1:25">
      <c r="E48" s="202"/>
      <c r="F48" s="202"/>
      <c r="G48" s="202"/>
      <c r="H48" s="202"/>
      <c r="I48" s="202"/>
      <c r="J48" s="452"/>
      <c r="K48" s="202"/>
      <c r="L48" s="202"/>
      <c r="M48" s="202"/>
      <c r="U48" s="202"/>
      <c r="V48" s="202"/>
      <c r="W48" s="202"/>
      <c r="X48" s="202"/>
      <c r="Y48" s="202"/>
    </row>
    <row r="49" spans="1:25">
      <c r="E49" s="202"/>
      <c r="F49" s="202"/>
      <c r="G49" s="202"/>
      <c r="H49" s="202"/>
      <c r="I49" s="202"/>
      <c r="J49" s="452"/>
      <c r="K49" s="202"/>
      <c r="L49" s="202"/>
      <c r="M49" s="202"/>
      <c r="U49" s="202"/>
      <c r="V49" s="202"/>
      <c r="W49" s="202"/>
      <c r="X49" s="202"/>
      <c r="Y49" s="202"/>
    </row>
    <row r="50" spans="1:25">
      <c r="A50" s="201"/>
      <c r="B50" s="201"/>
      <c r="C50" s="201"/>
      <c r="D50" s="201"/>
    </row>
    <row r="51" spans="1:25">
      <c r="A51" s="201"/>
      <c r="B51" s="201"/>
      <c r="C51" s="201"/>
      <c r="D51" s="201"/>
    </row>
    <row r="52" spans="1:25">
      <c r="A52" s="201"/>
      <c r="B52" s="201"/>
      <c r="C52" s="201"/>
      <c r="D52" s="201"/>
    </row>
    <row r="53" spans="1:25">
      <c r="A53" s="201"/>
      <c r="B53" s="201"/>
      <c r="C53" s="201"/>
      <c r="D53" s="201"/>
    </row>
    <row r="54" spans="1:25">
      <c r="A54" s="201"/>
      <c r="B54" s="201"/>
      <c r="C54" s="201"/>
      <c r="D54" s="201"/>
    </row>
    <row r="55" spans="1:25">
      <c r="A55" s="203"/>
      <c r="B55" s="203"/>
      <c r="C55" s="203"/>
      <c r="D55" s="203"/>
    </row>
    <row r="56" spans="1:25">
      <c r="A56" s="201"/>
      <c r="B56" s="201"/>
      <c r="C56" s="201"/>
      <c r="D56" s="201"/>
    </row>
    <row r="57" spans="1:25">
      <c r="A57" s="201"/>
      <c r="B57" s="201"/>
      <c r="C57" s="201"/>
      <c r="D57" s="201"/>
    </row>
    <row r="58" spans="1:25">
      <c r="A58" s="201"/>
      <c r="B58" s="201"/>
      <c r="C58" s="201"/>
      <c r="D58" s="201"/>
    </row>
    <row r="59" spans="1:25">
      <c r="A59" s="201"/>
      <c r="B59" s="201"/>
      <c r="C59" s="201"/>
      <c r="D59" s="201"/>
    </row>
    <row r="60" spans="1:25">
      <c r="A60" s="201"/>
      <c r="B60" s="201"/>
      <c r="C60" s="201"/>
      <c r="D60" s="201"/>
    </row>
    <row r="61" spans="1:25">
      <c r="A61" s="201"/>
      <c r="B61" s="201"/>
      <c r="C61" s="201"/>
      <c r="D61" s="201"/>
    </row>
    <row r="62" spans="1:25">
      <c r="A62" s="201"/>
      <c r="B62" s="201"/>
      <c r="C62" s="201"/>
      <c r="D62" s="201"/>
    </row>
    <row r="63" spans="1:25">
      <c r="A63" s="203"/>
      <c r="B63" s="203"/>
      <c r="C63" s="203"/>
      <c r="D63" s="203"/>
    </row>
    <row r="64" spans="1:25">
      <c r="A64" s="201"/>
      <c r="B64" s="201"/>
      <c r="C64" s="201"/>
      <c r="D64" s="201"/>
    </row>
    <row r="65" spans="1:4">
      <c r="A65" s="201"/>
      <c r="B65" s="201"/>
      <c r="C65" s="201"/>
      <c r="D65" s="201"/>
    </row>
    <row r="66" spans="1:4">
      <c r="A66" s="201"/>
      <c r="B66" s="201"/>
      <c r="C66" s="201"/>
      <c r="D66" s="201"/>
    </row>
    <row r="67" spans="1:4">
      <c r="A67" s="201"/>
      <c r="B67" s="201"/>
      <c r="C67" s="201"/>
      <c r="D67" s="201"/>
    </row>
    <row r="68" spans="1:4">
      <c r="A68" s="201"/>
      <c r="B68" s="201"/>
      <c r="C68" s="201"/>
      <c r="D68" s="201"/>
    </row>
    <row r="69" spans="1:4">
      <c r="A69" s="201"/>
      <c r="B69" s="201"/>
      <c r="C69" s="201"/>
      <c r="D69" s="201"/>
    </row>
  </sheetData>
  <mergeCells count="2">
    <mergeCell ref="E4:J4"/>
    <mergeCell ref="N4:P4"/>
  </mergeCells>
  <pageMargins left="0.5" right="0.25" top="0.25" bottom="0.25" header="0.3" footer="0.3"/>
  <pageSetup paperSize="5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50" zoomScaleNormal="100" zoomScaleSheetLayoutView="5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O17" sqref="O17"/>
    </sheetView>
  </sheetViews>
  <sheetFormatPr defaultRowHeight="15"/>
  <cols>
    <col min="1" max="1" width="24.1640625" style="338" customWidth="1"/>
    <col min="2" max="2" width="11.83203125" style="338" customWidth="1"/>
    <col min="3" max="5" width="13.83203125" style="338" customWidth="1"/>
    <col min="6" max="6" width="12.83203125" style="338" customWidth="1"/>
    <col min="7" max="7" width="1.83203125" style="338" customWidth="1"/>
    <col min="8" max="8" width="16.83203125" style="338" customWidth="1"/>
    <col min="9" max="9" width="1.83203125" style="338" customWidth="1"/>
    <col min="10" max="10" width="22.83203125" style="338" bestFit="1" customWidth="1"/>
    <col min="11" max="11" width="22.1640625" style="338" bestFit="1" customWidth="1"/>
    <col min="12" max="12" width="24.1640625" style="338" bestFit="1" customWidth="1"/>
    <col min="13" max="13" width="24.83203125" style="338" bestFit="1" customWidth="1"/>
    <col min="14" max="15" width="20.83203125" style="338" bestFit="1" customWidth="1"/>
    <col min="16" max="16" width="19.1640625" style="338" bestFit="1" customWidth="1"/>
    <col min="17" max="17" width="13.83203125" style="338" customWidth="1"/>
    <col min="18" max="18" width="14.83203125" style="338" customWidth="1"/>
    <col min="19" max="19" width="13.83203125" style="338" customWidth="1"/>
    <col min="20" max="20" width="15.33203125" style="338" customWidth="1"/>
    <col min="21" max="22" width="22.83203125" style="399" bestFit="1" customWidth="1"/>
    <col min="23" max="23" width="20.5" style="338" bestFit="1" customWidth="1"/>
    <col min="24" max="24" width="22.1640625" style="338" bestFit="1" customWidth="1"/>
    <col min="25" max="25" width="21.1640625" style="338" bestFit="1" customWidth="1"/>
    <col min="26" max="26" width="20.83203125" style="338" bestFit="1" customWidth="1"/>
    <col min="27" max="27" width="13.83203125" style="338" customWidth="1"/>
    <col min="28" max="28" width="17" style="338" customWidth="1"/>
    <col min="29" max="29" width="22.83203125" style="338" bestFit="1" customWidth="1"/>
    <col min="30" max="30" width="16.33203125" style="338" bestFit="1" customWidth="1"/>
    <col min="31" max="31" width="17.5" style="338" bestFit="1" customWidth="1"/>
    <col min="32" max="32" width="17" style="338" bestFit="1" customWidth="1"/>
    <col min="33" max="33" width="17.5" style="338" bestFit="1" customWidth="1"/>
    <col min="34" max="34" width="18.5" style="338" bestFit="1" customWidth="1"/>
    <col min="35" max="35" width="17.5" style="338" bestFit="1" customWidth="1"/>
    <col min="36" max="36" width="4.1640625" style="338" customWidth="1"/>
    <col min="37" max="37" width="12.1640625" style="338" customWidth="1"/>
    <col min="38" max="241" width="8.83203125" style="338"/>
    <col min="242" max="242" width="24.1640625" style="338" customWidth="1"/>
    <col min="243" max="245" width="16.5" style="338" customWidth="1"/>
    <col min="246" max="246" width="18" style="338" customWidth="1"/>
    <col min="247" max="247" width="16.5" style="338" customWidth="1"/>
    <col min="248" max="248" width="4" style="338" customWidth="1"/>
    <col min="249" max="251" width="9.33203125" style="338" customWidth="1"/>
    <col min="252" max="252" width="22.5" style="338" customWidth="1"/>
    <col min="253" max="253" width="3.83203125" style="338" customWidth="1"/>
    <col min="254" max="254" width="16.5" style="338" customWidth="1"/>
    <col min="255" max="255" width="17.33203125" style="338" customWidth="1"/>
    <col min="256" max="259" width="16.5" style="338" customWidth="1"/>
    <col min="260" max="261" width="9.33203125" style="338" customWidth="1"/>
    <col min="262" max="262" width="18.83203125" style="338" customWidth="1"/>
    <col min="263" max="263" width="16.5" style="338" customWidth="1"/>
    <col min="264" max="264" width="17.83203125" style="338" customWidth="1"/>
    <col min="265" max="267" width="16.5" style="338" customWidth="1"/>
    <col min="268" max="268" width="17.83203125" style="338" bestFit="1" customWidth="1"/>
    <col min="269" max="269" width="16.5" style="338" customWidth="1"/>
    <col min="270" max="270" width="21" style="338" customWidth="1"/>
    <col min="271" max="271" width="16.5" style="338" customWidth="1"/>
    <col min="272" max="272" width="18.33203125" style="338" bestFit="1" customWidth="1"/>
    <col min="273" max="273" width="19.1640625" style="338" customWidth="1"/>
    <col min="274" max="275" width="18.33203125" style="338" customWidth="1"/>
    <col min="276" max="276" width="8.83203125" style="338"/>
    <col min="277" max="278" width="16.83203125" style="338" customWidth="1"/>
    <col min="279" max="280" width="11.6640625" style="338" customWidth="1"/>
    <col min="281" max="281" width="8.83203125" style="338"/>
    <col min="282" max="282" width="18.33203125" style="338" customWidth="1"/>
    <col min="283" max="283" width="16.5" style="338" customWidth="1"/>
    <col min="284" max="284" width="9.5" style="338" bestFit="1" customWidth="1"/>
    <col min="285" max="285" width="17.6640625" style="338" customWidth="1"/>
    <col min="286" max="286" width="14.83203125" style="338" bestFit="1" customWidth="1"/>
    <col min="287" max="497" width="8.83203125" style="338"/>
    <col min="498" max="498" width="24.1640625" style="338" customWidth="1"/>
    <col min="499" max="501" width="16.5" style="338" customWidth="1"/>
    <col min="502" max="502" width="18" style="338" customWidth="1"/>
    <col min="503" max="503" width="16.5" style="338" customWidth="1"/>
    <col min="504" max="504" width="4" style="338" customWidth="1"/>
    <col min="505" max="507" width="9.33203125" style="338" customWidth="1"/>
    <col min="508" max="508" width="22.5" style="338" customWidth="1"/>
    <col min="509" max="509" width="3.83203125" style="338" customWidth="1"/>
    <col min="510" max="510" width="16.5" style="338" customWidth="1"/>
    <col min="511" max="511" width="17.33203125" style="338" customWidth="1"/>
    <col min="512" max="515" width="16.5" style="338" customWidth="1"/>
    <col min="516" max="517" width="9.33203125" style="338" customWidth="1"/>
    <col min="518" max="518" width="18.83203125" style="338" customWidth="1"/>
    <col min="519" max="519" width="16.5" style="338" customWidth="1"/>
    <col min="520" max="520" width="17.83203125" style="338" customWidth="1"/>
    <col min="521" max="523" width="16.5" style="338" customWidth="1"/>
    <col min="524" max="524" width="17.83203125" style="338" bestFit="1" customWidth="1"/>
    <col min="525" max="525" width="16.5" style="338" customWidth="1"/>
    <col min="526" max="526" width="21" style="338" customWidth="1"/>
    <col min="527" max="527" width="16.5" style="338" customWidth="1"/>
    <col min="528" max="528" width="18.33203125" style="338" bestFit="1" customWidth="1"/>
    <col min="529" max="529" width="19.1640625" style="338" customWidth="1"/>
    <col min="530" max="531" width="18.33203125" style="338" customWidth="1"/>
    <col min="532" max="532" width="8.83203125" style="338"/>
    <col min="533" max="534" width="16.83203125" style="338" customWidth="1"/>
    <col min="535" max="536" width="11.6640625" style="338" customWidth="1"/>
    <col min="537" max="537" width="8.83203125" style="338"/>
    <col min="538" max="538" width="18.33203125" style="338" customWidth="1"/>
    <col min="539" max="539" width="16.5" style="338" customWidth="1"/>
    <col min="540" max="540" width="9.5" style="338" bestFit="1" customWidth="1"/>
    <col min="541" max="541" width="17.6640625" style="338" customWidth="1"/>
    <col min="542" max="542" width="14.83203125" style="338" bestFit="1" customWidth="1"/>
    <col min="543" max="753" width="8.83203125" style="338"/>
    <col min="754" max="754" width="24.1640625" style="338" customWidth="1"/>
    <col min="755" max="757" width="16.5" style="338" customWidth="1"/>
    <col min="758" max="758" width="18" style="338" customWidth="1"/>
    <col min="759" max="759" width="16.5" style="338" customWidth="1"/>
    <col min="760" max="760" width="4" style="338" customWidth="1"/>
    <col min="761" max="763" width="9.33203125" style="338" customWidth="1"/>
    <col min="764" max="764" width="22.5" style="338" customWidth="1"/>
    <col min="765" max="765" width="3.83203125" style="338" customWidth="1"/>
    <col min="766" max="766" width="16.5" style="338" customWidth="1"/>
    <col min="767" max="767" width="17.33203125" style="338" customWidth="1"/>
    <col min="768" max="771" width="16.5" style="338" customWidth="1"/>
    <col min="772" max="773" width="9.33203125" style="338" customWidth="1"/>
    <col min="774" max="774" width="18.83203125" style="338" customWidth="1"/>
    <col min="775" max="775" width="16.5" style="338" customWidth="1"/>
    <col min="776" max="776" width="17.83203125" style="338" customWidth="1"/>
    <col min="777" max="779" width="16.5" style="338" customWidth="1"/>
    <col min="780" max="780" width="17.83203125" style="338" bestFit="1" customWidth="1"/>
    <col min="781" max="781" width="16.5" style="338" customWidth="1"/>
    <col min="782" max="782" width="21" style="338" customWidth="1"/>
    <col min="783" max="783" width="16.5" style="338" customWidth="1"/>
    <col min="784" max="784" width="18.33203125" style="338" bestFit="1" customWidth="1"/>
    <col min="785" max="785" width="19.1640625" style="338" customWidth="1"/>
    <col min="786" max="787" width="18.33203125" style="338" customWidth="1"/>
    <col min="788" max="788" width="8.83203125" style="338"/>
    <col min="789" max="790" width="16.83203125" style="338" customWidth="1"/>
    <col min="791" max="792" width="11.6640625" style="338" customWidth="1"/>
    <col min="793" max="793" width="8.83203125" style="338"/>
    <col min="794" max="794" width="18.33203125" style="338" customWidth="1"/>
    <col min="795" max="795" width="16.5" style="338" customWidth="1"/>
    <col min="796" max="796" width="9.5" style="338" bestFit="1" customWidth="1"/>
    <col min="797" max="797" width="17.6640625" style="338" customWidth="1"/>
    <col min="798" max="798" width="14.83203125" style="338" bestFit="1" customWidth="1"/>
    <col min="799" max="1009" width="8.83203125" style="338"/>
    <col min="1010" max="1010" width="24.1640625" style="338" customWidth="1"/>
    <col min="1011" max="1013" width="16.5" style="338" customWidth="1"/>
    <col min="1014" max="1014" width="18" style="338" customWidth="1"/>
    <col min="1015" max="1015" width="16.5" style="338" customWidth="1"/>
    <col min="1016" max="1016" width="4" style="338" customWidth="1"/>
    <col min="1017" max="1019" width="9.33203125" style="338" customWidth="1"/>
    <col min="1020" max="1020" width="22.5" style="338" customWidth="1"/>
    <col min="1021" max="1021" width="3.83203125" style="338" customWidth="1"/>
    <col min="1022" max="1022" width="16.5" style="338" customWidth="1"/>
    <col min="1023" max="1023" width="17.33203125" style="338" customWidth="1"/>
    <col min="1024" max="1027" width="16.5" style="338" customWidth="1"/>
    <col min="1028" max="1029" width="9.33203125" style="338" customWidth="1"/>
    <col min="1030" max="1030" width="18.83203125" style="338" customWidth="1"/>
    <col min="1031" max="1031" width="16.5" style="338" customWidth="1"/>
    <col min="1032" max="1032" width="17.83203125" style="338" customWidth="1"/>
    <col min="1033" max="1035" width="16.5" style="338" customWidth="1"/>
    <col min="1036" max="1036" width="17.83203125" style="338" bestFit="1" customWidth="1"/>
    <col min="1037" max="1037" width="16.5" style="338" customWidth="1"/>
    <col min="1038" max="1038" width="21" style="338" customWidth="1"/>
    <col min="1039" max="1039" width="16.5" style="338" customWidth="1"/>
    <col min="1040" max="1040" width="18.33203125" style="338" bestFit="1" customWidth="1"/>
    <col min="1041" max="1041" width="19.1640625" style="338" customWidth="1"/>
    <col min="1042" max="1043" width="18.33203125" style="338" customWidth="1"/>
    <col min="1044" max="1044" width="8.83203125" style="338"/>
    <col min="1045" max="1046" width="16.83203125" style="338" customWidth="1"/>
    <col min="1047" max="1048" width="11.6640625" style="338" customWidth="1"/>
    <col min="1049" max="1049" width="8.83203125" style="338"/>
    <col min="1050" max="1050" width="18.33203125" style="338" customWidth="1"/>
    <col min="1051" max="1051" width="16.5" style="338" customWidth="1"/>
    <col min="1052" max="1052" width="9.5" style="338" bestFit="1" customWidth="1"/>
    <col min="1053" max="1053" width="17.6640625" style="338" customWidth="1"/>
    <col min="1054" max="1054" width="14.83203125" style="338" bestFit="1" customWidth="1"/>
    <col min="1055" max="1265" width="8.83203125" style="338"/>
    <col min="1266" max="1266" width="24.1640625" style="338" customWidth="1"/>
    <col min="1267" max="1269" width="16.5" style="338" customWidth="1"/>
    <col min="1270" max="1270" width="18" style="338" customWidth="1"/>
    <col min="1271" max="1271" width="16.5" style="338" customWidth="1"/>
    <col min="1272" max="1272" width="4" style="338" customWidth="1"/>
    <col min="1273" max="1275" width="9.33203125" style="338" customWidth="1"/>
    <col min="1276" max="1276" width="22.5" style="338" customWidth="1"/>
    <col min="1277" max="1277" width="3.83203125" style="338" customWidth="1"/>
    <col min="1278" max="1278" width="16.5" style="338" customWidth="1"/>
    <col min="1279" max="1279" width="17.33203125" style="338" customWidth="1"/>
    <col min="1280" max="1283" width="16.5" style="338" customWidth="1"/>
    <col min="1284" max="1285" width="9.33203125" style="338" customWidth="1"/>
    <col min="1286" max="1286" width="18.83203125" style="338" customWidth="1"/>
    <col min="1287" max="1287" width="16.5" style="338" customWidth="1"/>
    <col min="1288" max="1288" width="17.83203125" style="338" customWidth="1"/>
    <col min="1289" max="1291" width="16.5" style="338" customWidth="1"/>
    <col min="1292" max="1292" width="17.83203125" style="338" bestFit="1" customWidth="1"/>
    <col min="1293" max="1293" width="16.5" style="338" customWidth="1"/>
    <col min="1294" max="1294" width="21" style="338" customWidth="1"/>
    <col min="1295" max="1295" width="16.5" style="338" customWidth="1"/>
    <col min="1296" max="1296" width="18.33203125" style="338" bestFit="1" customWidth="1"/>
    <col min="1297" max="1297" width="19.1640625" style="338" customWidth="1"/>
    <col min="1298" max="1299" width="18.33203125" style="338" customWidth="1"/>
    <col min="1300" max="1300" width="8.83203125" style="338"/>
    <col min="1301" max="1302" width="16.83203125" style="338" customWidth="1"/>
    <col min="1303" max="1304" width="11.6640625" style="338" customWidth="1"/>
    <col min="1305" max="1305" width="8.83203125" style="338"/>
    <col min="1306" max="1306" width="18.33203125" style="338" customWidth="1"/>
    <col min="1307" max="1307" width="16.5" style="338" customWidth="1"/>
    <col min="1308" max="1308" width="9.5" style="338" bestFit="1" customWidth="1"/>
    <col min="1309" max="1309" width="17.6640625" style="338" customWidth="1"/>
    <col min="1310" max="1310" width="14.83203125" style="338" bestFit="1" customWidth="1"/>
    <col min="1311" max="1521" width="8.83203125" style="338"/>
    <col min="1522" max="1522" width="24.1640625" style="338" customWidth="1"/>
    <col min="1523" max="1525" width="16.5" style="338" customWidth="1"/>
    <col min="1526" max="1526" width="18" style="338" customWidth="1"/>
    <col min="1527" max="1527" width="16.5" style="338" customWidth="1"/>
    <col min="1528" max="1528" width="4" style="338" customWidth="1"/>
    <col min="1529" max="1531" width="9.33203125" style="338" customWidth="1"/>
    <col min="1532" max="1532" width="22.5" style="338" customWidth="1"/>
    <col min="1533" max="1533" width="3.83203125" style="338" customWidth="1"/>
    <col min="1534" max="1534" width="16.5" style="338" customWidth="1"/>
    <col min="1535" max="1535" width="17.33203125" style="338" customWidth="1"/>
    <col min="1536" max="1539" width="16.5" style="338" customWidth="1"/>
    <col min="1540" max="1541" width="9.33203125" style="338" customWidth="1"/>
    <col min="1542" max="1542" width="18.83203125" style="338" customWidth="1"/>
    <col min="1543" max="1543" width="16.5" style="338" customWidth="1"/>
    <col min="1544" max="1544" width="17.83203125" style="338" customWidth="1"/>
    <col min="1545" max="1547" width="16.5" style="338" customWidth="1"/>
    <col min="1548" max="1548" width="17.83203125" style="338" bestFit="1" customWidth="1"/>
    <col min="1549" max="1549" width="16.5" style="338" customWidth="1"/>
    <col min="1550" max="1550" width="21" style="338" customWidth="1"/>
    <col min="1551" max="1551" width="16.5" style="338" customWidth="1"/>
    <col min="1552" max="1552" width="18.33203125" style="338" bestFit="1" customWidth="1"/>
    <col min="1553" max="1553" width="19.1640625" style="338" customWidth="1"/>
    <col min="1554" max="1555" width="18.33203125" style="338" customWidth="1"/>
    <col min="1556" max="1556" width="8.83203125" style="338"/>
    <col min="1557" max="1558" width="16.83203125" style="338" customWidth="1"/>
    <col min="1559" max="1560" width="11.6640625" style="338" customWidth="1"/>
    <col min="1561" max="1561" width="8.83203125" style="338"/>
    <col min="1562" max="1562" width="18.33203125" style="338" customWidth="1"/>
    <col min="1563" max="1563" width="16.5" style="338" customWidth="1"/>
    <col min="1564" max="1564" width="9.5" style="338" bestFit="1" customWidth="1"/>
    <col min="1565" max="1565" width="17.6640625" style="338" customWidth="1"/>
    <col min="1566" max="1566" width="14.83203125" style="338" bestFit="1" customWidth="1"/>
    <col min="1567" max="1777" width="8.83203125" style="338"/>
    <col min="1778" max="1778" width="24.1640625" style="338" customWidth="1"/>
    <col min="1779" max="1781" width="16.5" style="338" customWidth="1"/>
    <col min="1782" max="1782" width="18" style="338" customWidth="1"/>
    <col min="1783" max="1783" width="16.5" style="338" customWidth="1"/>
    <col min="1784" max="1784" width="4" style="338" customWidth="1"/>
    <col min="1785" max="1787" width="9.33203125" style="338" customWidth="1"/>
    <col min="1788" max="1788" width="22.5" style="338" customWidth="1"/>
    <col min="1789" max="1789" width="3.83203125" style="338" customWidth="1"/>
    <col min="1790" max="1790" width="16.5" style="338" customWidth="1"/>
    <col min="1791" max="1791" width="17.33203125" style="338" customWidth="1"/>
    <col min="1792" max="1795" width="16.5" style="338" customWidth="1"/>
    <col min="1796" max="1797" width="9.33203125" style="338" customWidth="1"/>
    <col min="1798" max="1798" width="18.83203125" style="338" customWidth="1"/>
    <col min="1799" max="1799" width="16.5" style="338" customWidth="1"/>
    <col min="1800" max="1800" width="17.83203125" style="338" customWidth="1"/>
    <col min="1801" max="1803" width="16.5" style="338" customWidth="1"/>
    <col min="1804" max="1804" width="17.83203125" style="338" bestFit="1" customWidth="1"/>
    <col min="1805" max="1805" width="16.5" style="338" customWidth="1"/>
    <col min="1806" max="1806" width="21" style="338" customWidth="1"/>
    <col min="1807" max="1807" width="16.5" style="338" customWidth="1"/>
    <col min="1808" max="1808" width="18.33203125" style="338" bestFit="1" customWidth="1"/>
    <col min="1809" max="1809" width="19.1640625" style="338" customWidth="1"/>
    <col min="1810" max="1811" width="18.33203125" style="338" customWidth="1"/>
    <col min="1812" max="1812" width="8.83203125" style="338"/>
    <col min="1813" max="1814" width="16.83203125" style="338" customWidth="1"/>
    <col min="1815" max="1816" width="11.6640625" style="338" customWidth="1"/>
    <col min="1817" max="1817" width="8.83203125" style="338"/>
    <col min="1818" max="1818" width="18.33203125" style="338" customWidth="1"/>
    <col min="1819" max="1819" width="16.5" style="338" customWidth="1"/>
    <col min="1820" max="1820" width="9.5" style="338" bestFit="1" customWidth="1"/>
    <col min="1821" max="1821" width="17.6640625" style="338" customWidth="1"/>
    <col min="1822" max="1822" width="14.83203125" style="338" bestFit="1" customWidth="1"/>
    <col min="1823" max="2033" width="8.83203125" style="338"/>
    <col min="2034" max="2034" width="24.1640625" style="338" customWidth="1"/>
    <col min="2035" max="2037" width="16.5" style="338" customWidth="1"/>
    <col min="2038" max="2038" width="18" style="338" customWidth="1"/>
    <col min="2039" max="2039" width="16.5" style="338" customWidth="1"/>
    <col min="2040" max="2040" width="4" style="338" customWidth="1"/>
    <col min="2041" max="2043" width="9.33203125" style="338" customWidth="1"/>
    <col min="2044" max="2044" width="22.5" style="338" customWidth="1"/>
    <col min="2045" max="2045" width="3.83203125" style="338" customWidth="1"/>
    <col min="2046" max="2046" width="16.5" style="338" customWidth="1"/>
    <col min="2047" max="2047" width="17.33203125" style="338" customWidth="1"/>
    <col min="2048" max="2051" width="16.5" style="338" customWidth="1"/>
    <col min="2052" max="2053" width="9.33203125" style="338" customWidth="1"/>
    <col min="2054" max="2054" width="18.83203125" style="338" customWidth="1"/>
    <col min="2055" max="2055" width="16.5" style="338" customWidth="1"/>
    <col min="2056" max="2056" width="17.83203125" style="338" customWidth="1"/>
    <col min="2057" max="2059" width="16.5" style="338" customWidth="1"/>
    <col min="2060" max="2060" width="17.83203125" style="338" bestFit="1" customWidth="1"/>
    <col min="2061" max="2061" width="16.5" style="338" customWidth="1"/>
    <col min="2062" max="2062" width="21" style="338" customWidth="1"/>
    <col min="2063" max="2063" width="16.5" style="338" customWidth="1"/>
    <col min="2064" max="2064" width="18.33203125" style="338" bestFit="1" customWidth="1"/>
    <col min="2065" max="2065" width="19.1640625" style="338" customWidth="1"/>
    <col min="2066" max="2067" width="18.33203125" style="338" customWidth="1"/>
    <col min="2068" max="2068" width="8.83203125" style="338"/>
    <col min="2069" max="2070" width="16.83203125" style="338" customWidth="1"/>
    <col min="2071" max="2072" width="11.6640625" style="338" customWidth="1"/>
    <col min="2073" max="2073" width="8.83203125" style="338"/>
    <col min="2074" max="2074" width="18.33203125" style="338" customWidth="1"/>
    <col min="2075" max="2075" width="16.5" style="338" customWidth="1"/>
    <col min="2076" max="2076" width="9.5" style="338" bestFit="1" customWidth="1"/>
    <col min="2077" max="2077" width="17.6640625" style="338" customWidth="1"/>
    <col min="2078" max="2078" width="14.83203125" style="338" bestFit="1" customWidth="1"/>
    <col min="2079" max="2289" width="8.83203125" style="338"/>
    <col min="2290" max="2290" width="24.1640625" style="338" customWidth="1"/>
    <col min="2291" max="2293" width="16.5" style="338" customWidth="1"/>
    <col min="2294" max="2294" width="18" style="338" customWidth="1"/>
    <col min="2295" max="2295" width="16.5" style="338" customWidth="1"/>
    <col min="2296" max="2296" width="4" style="338" customWidth="1"/>
    <col min="2297" max="2299" width="9.33203125" style="338" customWidth="1"/>
    <col min="2300" max="2300" width="22.5" style="338" customWidth="1"/>
    <col min="2301" max="2301" width="3.83203125" style="338" customWidth="1"/>
    <col min="2302" max="2302" width="16.5" style="338" customWidth="1"/>
    <col min="2303" max="2303" width="17.33203125" style="338" customWidth="1"/>
    <col min="2304" max="2307" width="16.5" style="338" customWidth="1"/>
    <col min="2308" max="2309" width="9.33203125" style="338" customWidth="1"/>
    <col min="2310" max="2310" width="18.83203125" style="338" customWidth="1"/>
    <col min="2311" max="2311" width="16.5" style="338" customWidth="1"/>
    <col min="2312" max="2312" width="17.83203125" style="338" customWidth="1"/>
    <col min="2313" max="2315" width="16.5" style="338" customWidth="1"/>
    <col min="2316" max="2316" width="17.83203125" style="338" bestFit="1" customWidth="1"/>
    <col min="2317" max="2317" width="16.5" style="338" customWidth="1"/>
    <col min="2318" max="2318" width="21" style="338" customWidth="1"/>
    <col min="2319" max="2319" width="16.5" style="338" customWidth="1"/>
    <col min="2320" max="2320" width="18.33203125" style="338" bestFit="1" customWidth="1"/>
    <col min="2321" max="2321" width="19.1640625" style="338" customWidth="1"/>
    <col min="2322" max="2323" width="18.33203125" style="338" customWidth="1"/>
    <col min="2324" max="2324" width="8.83203125" style="338"/>
    <col min="2325" max="2326" width="16.83203125" style="338" customWidth="1"/>
    <col min="2327" max="2328" width="11.6640625" style="338" customWidth="1"/>
    <col min="2329" max="2329" width="8.83203125" style="338"/>
    <col min="2330" max="2330" width="18.33203125" style="338" customWidth="1"/>
    <col min="2331" max="2331" width="16.5" style="338" customWidth="1"/>
    <col min="2332" max="2332" width="9.5" style="338" bestFit="1" customWidth="1"/>
    <col min="2333" max="2333" width="17.6640625" style="338" customWidth="1"/>
    <col min="2334" max="2334" width="14.83203125" style="338" bestFit="1" customWidth="1"/>
    <col min="2335" max="2545" width="8.83203125" style="338"/>
    <col min="2546" max="2546" width="24.1640625" style="338" customWidth="1"/>
    <col min="2547" max="2549" width="16.5" style="338" customWidth="1"/>
    <col min="2550" max="2550" width="18" style="338" customWidth="1"/>
    <col min="2551" max="2551" width="16.5" style="338" customWidth="1"/>
    <col min="2552" max="2552" width="4" style="338" customWidth="1"/>
    <col min="2553" max="2555" width="9.33203125" style="338" customWidth="1"/>
    <col min="2556" max="2556" width="22.5" style="338" customWidth="1"/>
    <col min="2557" max="2557" width="3.83203125" style="338" customWidth="1"/>
    <col min="2558" max="2558" width="16.5" style="338" customWidth="1"/>
    <col min="2559" max="2559" width="17.33203125" style="338" customWidth="1"/>
    <col min="2560" max="2563" width="16.5" style="338" customWidth="1"/>
    <col min="2564" max="2565" width="9.33203125" style="338" customWidth="1"/>
    <col min="2566" max="2566" width="18.83203125" style="338" customWidth="1"/>
    <col min="2567" max="2567" width="16.5" style="338" customWidth="1"/>
    <col min="2568" max="2568" width="17.83203125" style="338" customWidth="1"/>
    <col min="2569" max="2571" width="16.5" style="338" customWidth="1"/>
    <col min="2572" max="2572" width="17.83203125" style="338" bestFit="1" customWidth="1"/>
    <col min="2573" max="2573" width="16.5" style="338" customWidth="1"/>
    <col min="2574" max="2574" width="21" style="338" customWidth="1"/>
    <col min="2575" max="2575" width="16.5" style="338" customWidth="1"/>
    <col min="2576" max="2576" width="18.33203125" style="338" bestFit="1" customWidth="1"/>
    <col min="2577" max="2577" width="19.1640625" style="338" customWidth="1"/>
    <col min="2578" max="2579" width="18.33203125" style="338" customWidth="1"/>
    <col min="2580" max="2580" width="8.83203125" style="338"/>
    <col min="2581" max="2582" width="16.83203125" style="338" customWidth="1"/>
    <col min="2583" max="2584" width="11.6640625" style="338" customWidth="1"/>
    <col min="2585" max="2585" width="8.83203125" style="338"/>
    <col min="2586" max="2586" width="18.33203125" style="338" customWidth="1"/>
    <col min="2587" max="2587" width="16.5" style="338" customWidth="1"/>
    <col min="2588" max="2588" width="9.5" style="338" bestFit="1" customWidth="1"/>
    <col min="2589" max="2589" width="17.6640625" style="338" customWidth="1"/>
    <col min="2590" max="2590" width="14.83203125" style="338" bestFit="1" customWidth="1"/>
    <col min="2591" max="2801" width="8.83203125" style="338"/>
    <col min="2802" max="2802" width="24.1640625" style="338" customWidth="1"/>
    <col min="2803" max="2805" width="16.5" style="338" customWidth="1"/>
    <col min="2806" max="2806" width="18" style="338" customWidth="1"/>
    <col min="2807" max="2807" width="16.5" style="338" customWidth="1"/>
    <col min="2808" max="2808" width="4" style="338" customWidth="1"/>
    <col min="2809" max="2811" width="9.33203125" style="338" customWidth="1"/>
    <col min="2812" max="2812" width="22.5" style="338" customWidth="1"/>
    <col min="2813" max="2813" width="3.83203125" style="338" customWidth="1"/>
    <col min="2814" max="2814" width="16.5" style="338" customWidth="1"/>
    <col min="2815" max="2815" width="17.33203125" style="338" customWidth="1"/>
    <col min="2816" max="2819" width="16.5" style="338" customWidth="1"/>
    <col min="2820" max="2821" width="9.33203125" style="338" customWidth="1"/>
    <col min="2822" max="2822" width="18.83203125" style="338" customWidth="1"/>
    <col min="2823" max="2823" width="16.5" style="338" customWidth="1"/>
    <col min="2824" max="2824" width="17.83203125" style="338" customWidth="1"/>
    <col min="2825" max="2827" width="16.5" style="338" customWidth="1"/>
    <col min="2828" max="2828" width="17.83203125" style="338" bestFit="1" customWidth="1"/>
    <col min="2829" max="2829" width="16.5" style="338" customWidth="1"/>
    <col min="2830" max="2830" width="21" style="338" customWidth="1"/>
    <col min="2831" max="2831" width="16.5" style="338" customWidth="1"/>
    <col min="2832" max="2832" width="18.33203125" style="338" bestFit="1" customWidth="1"/>
    <col min="2833" max="2833" width="19.1640625" style="338" customWidth="1"/>
    <col min="2834" max="2835" width="18.33203125" style="338" customWidth="1"/>
    <col min="2836" max="2836" width="8.83203125" style="338"/>
    <col min="2837" max="2838" width="16.83203125" style="338" customWidth="1"/>
    <col min="2839" max="2840" width="11.6640625" style="338" customWidth="1"/>
    <col min="2841" max="2841" width="8.83203125" style="338"/>
    <col min="2842" max="2842" width="18.33203125" style="338" customWidth="1"/>
    <col min="2843" max="2843" width="16.5" style="338" customWidth="1"/>
    <col min="2844" max="2844" width="9.5" style="338" bestFit="1" customWidth="1"/>
    <col min="2845" max="2845" width="17.6640625" style="338" customWidth="1"/>
    <col min="2846" max="2846" width="14.83203125" style="338" bestFit="1" customWidth="1"/>
    <col min="2847" max="3057" width="8.83203125" style="338"/>
    <col min="3058" max="3058" width="24.1640625" style="338" customWidth="1"/>
    <col min="3059" max="3061" width="16.5" style="338" customWidth="1"/>
    <col min="3062" max="3062" width="18" style="338" customWidth="1"/>
    <col min="3063" max="3063" width="16.5" style="338" customWidth="1"/>
    <col min="3064" max="3064" width="4" style="338" customWidth="1"/>
    <col min="3065" max="3067" width="9.33203125" style="338" customWidth="1"/>
    <col min="3068" max="3068" width="22.5" style="338" customWidth="1"/>
    <col min="3069" max="3069" width="3.83203125" style="338" customWidth="1"/>
    <col min="3070" max="3070" width="16.5" style="338" customWidth="1"/>
    <col min="3071" max="3071" width="17.33203125" style="338" customWidth="1"/>
    <col min="3072" max="3075" width="16.5" style="338" customWidth="1"/>
    <col min="3076" max="3077" width="9.33203125" style="338" customWidth="1"/>
    <col min="3078" max="3078" width="18.83203125" style="338" customWidth="1"/>
    <col min="3079" max="3079" width="16.5" style="338" customWidth="1"/>
    <col min="3080" max="3080" width="17.83203125" style="338" customWidth="1"/>
    <col min="3081" max="3083" width="16.5" style="338" customWidth="1"/>
    <col min="3084" max="3084" width="17.83203125" style="338" bestFit="1" customWidth="1"/>
    <col min="3085" max="3085" width="16.5" style="338" customWidth="1"/>
    <col min="3086" max="3086" width="21" style="338" customWidth="1"/>
    <col min="3087" max="3087" width="16.5" style="338" customWidth="1"/>
    <col min="3088" max="3088" width="18.33203125" style="338" bestFit="1" customWidth="1"/>
    <col min="3089" max="3089" width="19.1640625" style="338" customWidth="1"/>
    <col min="3090" max="3091" width="18.33203125" style="338" customWidth="1"/>
    <col min="3092" max="3092" width="8.83203125" style="338"/>
    <col min="3093" max="3094" width="16.83203125" style="338" customWidth="1"/>
    <col min="3095" max="3096" width="11.6640625" style="338" customWidth="1"/>
    <col min="3097" max="3097" width="8.83203125" style="338"/>
    <col min="3098" max="3098" width="18.33203125" style="338" customWidth="1"/>
    <col min="3099" max="3099" width="16.5" style="338" customWidth="1"/>
    <col min="3100" max="3100" width="9.5" style="338" bestFit="1" customWidth="1"/>
    <col min="3101" max="3101" width="17.6640625" style="338" customWidth="1"/>
    <col min="3102" max="3102" width="14.83203125" style="338" bestFit="1" customWidth="1"/>
    <col min="3103" max="3313" width="8.83203125" style="338"/>
    <col min="3314" max="3314" width="24.1640625" style="338" customWidth="1"/>
    <col min="3315" max="3317" width="16.5" style="338" customWidth="1"/>
    <col min="3318" max="3318" width="18" style="338" customWidth="1"/>
    <col min="3319" max="3319" width="16.5" style="338" customWidth="1"/>
    <col min="3320" max="3320" width="4" style="338" customWidth="1"/>
    <col min="3321" max="3323" width="9.33203125" style="338" customWidth="1"/>
    <col min="3324" max="3324" width="22.5" style="338" customWidth="1"/>
    <col min="3325" max="3325" width="3.83203125" style="338" customWidth="1"/>
    <col min="3326" max="3326" width="16.5" style="338" customWidth="1"/>
    <col min="3327" max="3327" width="17.33203125" style="338" customWidth="1"/>
    <col min="3328" max="3331" width="16.5" style="338" customWidth="1"/>
    <col min="3332" max="3333" width="9.33203125" style="338" customWidth="1"/>
    <col min="3334" max="3334" width="18.83203125" style="338" customWidth="1"/>
    <col min="3335" max="3335" width="16.5" style="338" customWidth="1"/>
    <col min="3336" max="3336" width="17.83203125" style="338" customWidth="1"/>
    <col min="3337" max="3339" width="16.5" style="338" customWidth="1"/>
    <col min="3340" max="3340" width="17.83203125" style="338" bestFit="1" customWidth="1"/>
    <col min="3341" max="3341" width="16.5" style="338" customWidth="1"/>
    <col min="3342" max="3342" width="21" style="338" customWidth="1"/>
    <col min="3343" max="3343" width="16.5" style="338" customWidth="1"/>
    <col min="3344" max="3344" width="18.33203125" style="338" bestFit="1" customWidth="1"/>
    <col min="3345" max="3345" width="19.1640625" style="338" customWidth="1"/>
    <col min="3346" max="3347" width="18.33203125" style="338" customWidth="1"/>
    <col min="3348" max="3348" width="8.83203125" style="338"/>
    <col min="3349" max="3350" width="16.83203125" style="338" customWidth="1"/>
    <col min="3351" max="3352" width="11.6640625" style="338" customWidth="1"/>
    <col min="3353" max="3353" width="8.83203125" style="338"/>
    <col min="3354" max="3354" width="18.33203125" style="338" customWidth="1"/>
    <col min="3355" max="3355" width="16.5" style="338" customWidth="1"/>
    <col min="3356" max="3356" width="9.5" style="338" bestFit="1" customWidth="1"/>
    <col min="3357" max="3357" width="17.6640625" style="338" customWidth="1"/>
    <col min="3358" max="3358" width="14.83203125" style="338" bestFit="1" customWidth="1"/>
    <col min="3359" max="3569" width="8.83203125" style="338"/>
    <col min="3570" max="3570" width="24.1640625" style="338" customWidth="1"/>
    <col min="3571" max="3573" width="16.5" style="338" customWidth="1"/>
    <col min="3574" max="3574" width="18" style="338" customWidth="1"/>
    <col min="3575" max="3575" width="16.5" style="338" customWidth="1"/>
    <col min="3576" max="3576" width="4" style="338" customWidth="1"/>
    <col min="3577" max="3579" width="9.33203125" style="338" customWidth="1"/>
    <col min="3580" max="3580" width="22.5" style="338" customWidth="1"/>
    <col min="3581" max="3581" width="3.83203125" style="338" customWidth="1"/>
    <col min="3582" max="3582" width="16.5" style="338" customWidth="1"/>
    <col min="3583" max="3583" width="17.33203125" style="338" customWidth="1"/>
    <col min="3584" max="3587" width="16.5" style="338" customWidth="1"/>
    <col min="3588" max="3589" width="9.33203125" style="338" customWidth="1"/>
    <col min="3590" max="3590" width="18.83203125" style="338" customWidth="1"/>
    <col min="3591" max="3591" width="16.5" style="338" customWidth="1"/>
    <col min="3592" max="3592" width="17.83203125" style="338" customWidth="1"/>
    <col min="3593" max="3595" width="16.5" style="338" customWidth="1"/>
    <col min="3596" max="3596" width="17.83203125" style="338" bestFit="1" customWidth="1"/>
    <col min="3597" max="3597" width="16.5" style="338" customWidth="1"/>
    <col min="3598" max="3598" width="21" style="338" customWidth="1"/>
    <col min="3599" max="3599" width="16.5" style="338" customWidth="1"/>
    <col min="3600" max="3600" width="18.33203125" style="338" bestFit="1" customWidth="1"/>
    <col min="3601" max="3601" width="19.1640625" style="338" customWidth="1"/>
    <col min="3602" max="3603" width="18.33203125" style="338" customWidth="1"/>
    <col min="3604" max="3604" width="8.83203125" style="338"/>
    <col min="3605" max="3606" width="16.83203125" style="338" customWidth="1"/>
    <col min="3607" max="3608" width="11.6640625" style="338" customWidth="1"/>
    <col min="3609" max="3609" width="8.83203125" style="338"/>
    <col min="3610" max="3610" width="18.33203125" style="338" customWidth="1"/>
    <col min="3611" max="3611" width="16.5" style="338" customWidth="1"/>
    <col min="3612" max="3612" width="9.5" style="338" bestFit="1" customWidth="1"/>
    <col min="3613" max="3613" width="17.6640625" style="338" customWidth="1"/>
    <col min="3614" max="3614" width="14.83203125" style="338" bestFit="1" customWidth="1"/>
    <col min="3615" max="3825" width="8.83203125" style="338"/>
    <col min="3826" max="3826" width="24.1640625" style="338" customWidth="1"/>
    <col min="3827" max="3829" width="16.5" style="338" customWidth="1"/>
    <col min="3830" max="3830" width="18" style="338" customWidth="1"/>
    <col min="3831" max="3831" width="16.5" style="338" customWidth="1"/>
    <col min="3832" max="3832" width="4" style="338" customWidth="1"/>
    <col min="3833" max="3835" width="9.33203125" style="338" customWidth="1"/>
    <col min="3836" max="3836" width="22.5" style="338" customWidth="1"/>
    <col min="3837" max="3837" width="3.83203125" style="338" customWidth="1"/>
    <col min="3838" max="3838" width="16.5" style="338" customWidth="1"/>
    <col min="3839" max="3839" width="17.33203125" style="338" customWidth="1"/>
    <col min="3840" max="3843" width="16.5" style="338" customWidth="1"/>
    <col min="3844" max="3845" width="9.33203125" style="338" customWidth="1"/>
    <col min="3846" max="3846" width="18.83203125" style="338" customWidth="1"/>
    <col min="3847" max="3847" width="16.5" style="338" customWidth="1"/>
    <col min="3848" max="3848" width="17.83203125" style="338" customWidth="1"/>
    <col min="3849" max="3851" width="16.5" style="338" customWidth="1"/>
    <col min="3852" max="3852" width="17.83203125" style="338" bestFit="1" customWidth="1"/>
    <col min="3853" max="3853" width="16.5" style="338" customWidth="1"/>
    <col min="3854" max="3854" width="21" style="338" customWidth="1"/>
    <col min="3855" max="3855" width="16.5" style="338" customWidth="1"/>
    <col min="3856" max="3856" width="18.33203125" style="338" bestFit="1" customWidth="1"/>
    <col min="3857" max="3857" width="19.1640625" style="338" customWidth="1"/>
    <col min="3858" max="3859" width="18.33203125" style="338" customWidth="1"/>
    <col min="3860" max="3860" width="8.83203125" style="338"/>
    <col min="3861" max="3862" width="16.83203125" style="338" customWidth="1"/>
    <col min="3863" max="3864" width="11.6640625" style="338" customWidth="1"/>
    <col min="3865" max="3865" width="8.83203125" style="338"/>
    <col min="3866" max="3866" width="18.33203125" style="338" customWidth="1"/>
    <col min="3867" max="3867" width="16.5" style="338" customWidth="1"/>
    <col min="3868" max="3868" width="9.5" style="338" bestFit="1" customWidth="1"/>
    <col min="3869" max="3869" width="17.6640625" style="338" customWidth="1"/>
    <col min="3870" max="3870" width="14.83203125" style="338" bestFit="1" customWidth="1"/>
    <col min="3871" max="4081" width="8.83203125" style="338"/>
    <col min="4082" max="4082" width="24.1640625" style="338" customWidth="1"/>
    <col min="4083" max="4085" width="16.5" style="338" customWidth="1"/>
    <col min="4086" max="4086" width="18" style="338" customWidth="1"/>
    <col min="4087" max="4087" width="16.5" style="338" customWidth="1"/>
    <col min="4088" max="4088" width="4" style="338" customWidth="1"/>
    <col min="4089" max="4091" width="9.33203125" style="338" customWidth="1"/>
    <col min="4092" max="4092" width="22.5" style="338" customWidth="1"/>
    <col min="4093" max="4093" width="3.83203125" style="338" customWidth="1"/>
    <col min="4094" max="4094" width="16.5" style="338" customWidth="1"/>
    <col min="4095" max="4095" width="17.33203125" style="338" customWidth="1"/>
    <col min="4096" max="4099" width="16.5" style="338" customWidth="1"/>
    <col min="4100" max="4101" width="9.33203125" style="338" customWidth="1"/>
    <col min="4102" max="4102" width="18.83203125" style="338" customWidth="1"/>
    <col min="4103" max="4103" width="16.5" style="338" customWidth="1"/>
    <col min="4104" max="4104" width="17.83203125" style="338" customWidth="1"/>
    <col min="4105" max="4107" width="16.5" style="338" customWidth="1"/>
    <col min="4108" max="4108" width="17.83203125" style="338" bestFit="1" customWidth="1"/>
    <col min="4109" max="4109" width="16.5" style="338" customWidth="1"/>
    <col min="4110" max="4110" width="21" style="338" customWidth="1"/>
    <col min="4111" max="4111" width="16.5" style="338" customWidth="1"/>
    <col min="4112" max="4112" width="18.33203125" style="338" bestFit="1" customWidth="1"/>
    <col min="4113" max="4113" width="19.1640625" style="338" customWidth="1"/>
    <col min="4114" max="4115" width="18.33203125" style="338" customWidth="1"/>
    <col min="4116" max="4116" width="8.83203125" style="338"/>
    <col min="4117" max="4118" width="16.83203125" style="338" customWidth="1"/>
    <col min="4119" max="4120" width="11.6640625" style="338" customWidth="1"/>
    <col min="4121" max="4121" width="8.83203125" style="338"/>
    <col min="4122" max="4122" width="18.33203125" style="338" customWidth="1"/>
    <col min="4123" max="4123" width="16.5" style="338" customWidth="1"/>
    <col min="4124" max="4124" width="9.5" style="338" bestFit="1" customWidth="1"/>
    <col min="4125" max="4125" width="17.6640625" style="338" customWidth="1"/>
    <col min="4126" max="4126" width="14.83203125" style="338" bestFit="1" customWidth="1"/>
    <col min="4127" max="4337" width="8.83203125" style="338"/>
    <col min="4338" max="4338" width="24.1640625" style="338" customWidth="1"/>
    <col min="4339" max="4341" width="16.5" style="338" customWidth="1"/>
    <col min="4342" max="4342" width="18" style="338" customWidth="1"/>
    <col min="4343" max="4343" width="16.5" style="338" customWidth="1"/>
    <col min="4344" max="4344" width="4" style="338" customWidth="1"/>
    <col min="4345" max="4347" width="9.33203125" style="338" customWidth="1"/>
    <col min="4348" max="4348" width="22.5" style="338" customWidth="1"/>
    <col min="4349" max="4349" width="3.83203125" style="338" customWidth="1"/>
    <col min="4350" max="4350" width="16.5" style="338" customWidth="1"/>
    <col min="4351" max="4351" width="17.33203125" style="338" customWidth="1"/>
    <col min="4352" max="4355" width="16.5" style="338" customWidth="1"/>
    <col min="4356" max="4357" width="9.33203125" style="338" customWidth="1"/>
    <col min="4358" max="4358" width="18.83203125" style="338" customWidth="1"/>
    <col min="4359" max="4359" width="16.5" style="338" customWidth="1"/>
    <col min="4360" max="4360" width="17.83203125" style="338" customWidth="1"/>
    <col min="4361" max="4363" width="16.5" style="338" customWidth="1"/>
    <col min="4364" max="4364" width="17.83203125" style="338" bestFit="1" customWidth="1"/>
    <col min="4365" max="4365" width="16.5" style="338" customWidth="1"/>
    <col min="4366" max="4366" width="21" style="338" customWidth="1"/>
    <col min="4367" max="4367" width="16.5" style="338" customWidth="1"/>
    <col min="4368" max="4368" width="18.33203125" style="338" bestFit="1" customWidth="1"/>
    <col min="4369" max="4369" width="19.1640625" style="338" customWidth="1"/>
    <col min="4370" max="4371" width="18.33203125" style="338" customWidth="1"/>
    <col min="4372" max="4372" width="8.83203125" style="338"/>
    <col min="4373" max="4374" width="16.83203125" style="338" customWidth="1"/>
    <col min="4375" max="4376" width="11.6640625" style="338" customWidth="1"/>
    <col min="4377" max="4377" width="8.83203125" style="338"/>
    <col min="4378" max="4378" width="18.33203125" style="338" customWidth="1"/>
    <col min="4379" max="4379" width="16.5" style="338" customWidth="1"/>
    <col min="4380" max="4380" width="9.5" style="338" bestFit="1" customWidth="1"/>
    <col min="4381" max="4381" width="17.6640625" style="338" customWidth="1"/>
    <col min="4382" max="4382" width="14.83203125" style="338" bestFit="1" customWidth="1"/>
    <col min="4383" max="4593" width="8.83203125" style="338"/>
    <col min="4594" max="4594" width="24.1640625" style="338" customWidth="1"/>
    <col min="4595" max="4597" width="16.5" style="338" customWidth="1"/>
    <col min="4598" max="4598" width="18" style="338" customWidth="1"/>
    <col min="4599" max="4599" width="16.5" style="338" customWidth="1"/>
    <col min="4600" max="4600" width="4" style="338" customWidth="1"/>
    <col min="4601" max="4603" width="9.33203125" style="338" customWidth="1"/>
    <col min="4604" max="4604" width="22.5" style="338" customWidth="1"/>
    <col min="4605" max="4605" width="3.83203125" style="338" customWidth="1"/>
    <col min="4606" max="4606" width="16.5" style="338" customWidth="1"/>
    <col min="4607" max="4607" width="17.33203125" style="338" customWidth="1"/>
    <col min="4608" max="4611" width="16.5" style="338" customWidth="1"/>
    <col min="4612" max="4613" width="9.33203125" style="338" customWidth="1"/>
    <col min="4614" max="4614" width="18.83203125" style="338" customWidth="1"/>
    <col min="4615" max="4615" width="16.5" style="338" customWidth="1"/>
    <col min="4616" max="4616" width="17.83203125" style="338" customWidth="1"/>
    <col min="4617" max="4619" width="16.5" style="338" customWidth="1"/>
    <col min="4620" max="4620" width="17.83203125" style="338" bestFit="1" customWidth="1"/>
    <col min="4621" max="4621" width="16.5" style="338" customWidth="1"/>
    <col min="4622" max="4622" width="21" style="338" customWidth="1"/>
    <col min="4623" max="4623" width="16.5" style="338" customWidth="1"/>
    <col min="4624" max="4624" width="18.33203125" style="338" bestFit="1" customWidth="1"/>
    <col min="4625" max="4625" width="19.1640625" style="338" customWidth="1"/>
    <col min="4626" max="4627" width="18.33203125" style="338" customWidth="1"/>
    <col min="4628" max="4628" width="8.83203125" style="338"/>
    <col min="4629" max="4630" width="16.83203125" style="338" customWidth="1"/>
    <col min="4631" max="4632" width="11.6640625" style="338" customWidth="1"/>
    <col min="4633" max="4633" width="8.83203125" style="338"/>
    <col min="4634" max="4634" width="18.33203125" style="338" customWidth="1"/>
    <col min="4635" max="4635" width="16.5" style="338" customWidth="1"/>
    <col min="4636" max="4636" width="9.5" style="338" bestFit="1" customWidth="1"/>
    <col min="4637" max="4637" width="17.6640625" style="338" customWidth="1"/>
    <col min="4638" max="4638" width="14.83203125" style="338" bestFit="1" customWidth="1"/>
    <col min="4639" max="4849" width="8.83203125" style="338"/>
    <col min="4850" max="4850" width="24.1640625" style="338" customWidth="1"/>
    <col min="4851" max="4853" width="16.5" style="338" customWidth="1"/>
    <col min="4854" max="4854" width="18" style="338" customWidth="1"/>
    <col min="4855" max="4855" width="16.5" style="338" customWidth="1"/>
    <col min="4856" max="4856" width="4" style="338" customWidth="1"/>
    <col min="4857" max="4859" width="9.33203125" style="338" customWidth="1"/>
    <col min="4860" max="4860" width="22.5" style="338" customWidth="1"/>
    <col min="4861" max="4861" width="3.83203125" style="338" customWidth="1"/>
    <col min="4862" max="4862" width="16.5" style="338" customWidth="1"/>
    <col min="4863" max="4863" width="17.33203125" style="338" customWidth="1"/>
    <col min="4864" max="4867" width="16.5" style="338" customWidth="1"/>
    <col min="4868" max="4869" width="9.33203125" style="338" customWidth="1"/>
    <col min="4870" max="4870" width="18.83203125" style="338" customWidth="1"/>
    <col min="4871" max="4871" width="16.5" style="338" customWidth="1"/>
    <col min="4872" max="4872" width="17.83203125" style="338" customWidth="1"/>
    <col min="4873" max="4875" width="16.5" style="338" customWidth="1"/>
    <col min="4876" max="4876" width="17.83203125" style="338" bestFit="1" customWidth="1"/>
    <col min="4877" max="4877" width="16.5" style="338" customWidth="1"/>
    <col min="4878" max="4878" width="21" style="338" customWidth="1"/>
    <col min="4879" max="4879" width="16.5" style="338" customWidth="1"/>
    <col min="4880" max="4880" width="18.33203125" style="338" bestFit="1" customWidth="1"/>
    <col min="4881" max="4881" width="19.1640625" style="338" customWidth="1"/>
    <col min="4882" max="4883" width="18.33203125" style="338" customWidth="1"/>
    <col min="4884" max="4884" width="8.83203125" style="338"/>
    <col min="4885" max="4886" width="16.83203125" style="338" customWidth="1"/>
    <col min="4887" max="4888" width="11.6640625" style="338" customWidth="1"/>
    <col min="4889" max="4889" width="8.83203125" style="338"/>
    <col min="4890" max="4890" width="18.33203125" style="338" customWidth="1"/>
    <col min="4891" max="4891" width="16.5" style="338" customWidth="1"/>
    <col min="4892" max="4892" width="9.5" style="338" bestFit="1" customWidth="1"/>
    <col min="4893" max="4893" width="17.6640625" style="338" customWidth="1"/>
    <col min="4894" max="4894" width="14.83203125" style="338" bestFit="1" customWidth="1"/>
    <col min="4895" max="5105" width="8.83203125" style="338"/>
    <col min="5106" max="5106" width="24.1640625" style="338" customWidth="1"/>
    <col min="5107" max="5109" width="16.5" style="338" customWidth="1"/>
    <col min="5110" max="5110" width="18" style="338" customWidth="1"/>
    <col min="5111" max="5111" width="16.5" style="338" customWidth="1"/>
    <col min="5112" max="5112" width="4" style="338" customWidth="1"/>
    <col min="5113" max="5115" width="9.33203125" style="338" customWidth="1"/>
    <col min="5116" max="5116" width="22.5" style="338" customWidth="1"/>
    <col min="5117" max="5117" width="3.83203125" style="338" customWidth="1"/>
    <col min="5118" max="5118" width="16.5" style="338" customWidth="1"/>
    <col min="5119" max="5119" width="17.33203125" style="338" customWidth="1"/>
    <col min="5120" max="5123" width="16.5" style="338" customWidth="1"/>
    <col min="5124" max="5125" width="9.33203125" style="338" customWidth="1"/>
    <col min="5126" max="5126" width="18.83203125" style="338" customWidth="1"/>
    <col min="5127" max="5127" width="16.5" style="338" customWidth="1"/>
    <col min="5128" max="5128" width="17.83203125" style="338" customWidth="1"/>
    <col min="5129" max="5131" width="16.5" style="338" customWidth="1"/>
    <col min="5132" max="5132" width="17.83203125" style="338" bestFit="1" customWidth="1"/>
    <col min="5133" max="5133" width="16.5" style="338" customWidth="1"/>
    <col min="5134" max="5134" width="21" style="338" customWidth="1"/>
    <col min="5135" max="5135" width="16.5" style="338" customWidth="1"/>
    <col min="5136" max="5136" width="18.33203125" style="338" bestFit="1" customWidth="1"/>
    <col min="5137" max="5137" width="19.1640625" style="338" customWidth="1"/>
    <col min="5138" max="5139" width="18.33203125" style="338" customWidth="1"/>
    <col min="5140" max="5140" width="8.83203125" style="338"/>
    <col min="5141" max="5142" width="16.83203125" style="338" customWidth="1"/>
    <col min="5143" max="5144" width="11.6640625" style="338" customWidth="1"/>
    <col min="5145" max="5145" width="8.83203125" style="338"/>
    <col min="5146" max="5146" width="18.33203125" style="338" customWidth="1"/>
    <col min="5147" max="5147" width="16.5" style="338" customWidth="1"/>
    <col min="5148" max="5148" width="9.5" style="338" bestFit="1" customWidth="1"/>
    <col min="5149" max="5149" width="17.6640625" style="338" customWidth="1"/>
    <col min="5150" max="5150" width="14.83203125" style="338" bestFit="1" customWidth="1"/>
    <col min="5151" max="5361" width="8.83203125" style="338"/>
    <col min="5362" max="5362" width="24.1640625" style="338" customWidth="1"/>
    <col min="5363" max="5365" width="16.5" style="338" customWidth="1"/>
    <col min="5366" max="5366" width="18" style="338" customWidth="1"/>
    <col min="5367" max="5367" width="16.5" style="338" customWidth="1"/>
    <col min="5368" max="5368" width="4" style="338" customWidth="1"/>
    <col min="5369" max="5371" width="9.33203125" style="338" customWidth="1"/>
    <col min="5372" max="5372" width="22.5" style="338" customWidth="1"/>
    <col min="5373" max="5373" width="3.83203125" style="338" customWidth="1"/>
    <col min="5374" max="5374" width="16.5" style="338" customWidth="1"/>
    <col min="5375" max="5375" width="17.33203125" style="338" customWidth="1"/>
    <col min="5376" max="5379" width="16.5" style="338" customWidth="1"/>
    <col min="5380" max="5381" width="9.33203125" style="338" customWidth="1"/>
    <col min="5382" max="5382" width="18.83203125" style="338" customWidth="1"/>
    <col min="5383" max="5383" width="16.5" style="338" customWidth="1"/>
    <col min="5384" max="5384" width="17.83203125" style="338" customWidth="1"/>
    <col min="5385" max="5387" width="16.5" style="338" customWidth="1"/>
    <col min="5388" max="5388" width="17.83203125" style="338" bestFit="1" customWidth="1"/>
    <col min="5389" max="5389" width="16.5" style="338" customWidth="1"/>
    <col min="5390" max="5390" width="21" style="338" customWidth="1"/>
    <col min="5391" max="5391" width="16.5" style="338" customWidth="1"/>
    <col min="5392" max="5392" width="18.33203125" style="338" bestFit="1" customWidth="1"/>
    <col min="5393" max="5393" width="19.1640625" style="338" customWidth="1"/>
    <col min="5394" max="5395" width="18.33203125" style="338" customWidth="1"/>
    <col min="5396" max="5396" width="8.83203125" style="338"/>
    <col min="5397" max="5398" width="16.83203125" style="338" customWidth="1"/>
    <col min="5399" max="5400" width="11.6640625" style="338" customWidth="1"/>
    <col min="5401" max="5401" width="8.83203125" style="338"/>
    <col min="5402" max="5402" width="18.33203125" style="338" customWidth="1"/>
    <col min="5403" max="5403" width="16.5" style="338" customWidth="1"/>
    <col min="5404" max="5404" width="9.5" style="338" bestFit="1" customWidth="1"/>
    <col min="5405" max="5405" width="17.6640625" style="338" customWidth="1"/>
    <col min="5406" max="5406" width="14.83203125" style="338" bestFit="1" customWidth="1"/>
    <col min="5407" max="5617" width="8.83203125" style="338"/>
    <col min="5618" max="5618" width="24.1640625" style="338" customWidth="1"/>
    <col min="5619" max="5621" width="16.5" style="338" customWidth="1"/>
    <col min="5622" max="5622" width="18" style="338" customWidth="1"/>
    <col min="5623" max="5623" width="16.5" style="338" customWidth="1"/>
    <col min="5624" max="5624" width="4" style="338" customWidth="1"/>
    <col min="5625" max="5627" width="9.33203125" style="338" customWidth="1"/>
    <col min="5628" max="5628" width="22.5" style="338" customWidth="1"/>
    <col min="5629" max="5629" width="3.83203125" style="338" customWidth="1"/>
    <col min="5630" max="5630" width="16.5" style="338" customWidth="1"/>
    <col min="5631" max="5631" width="17.33203125" style="338" customWidth="1"/>
    <col min="5632" max="5635" width="16.5" style="338" customWidth="1"/>
    <col min="5636" max="5637" width="9.33203125" style="338" customWidth="1"/>
    <col min="5638" max="5638" width="18.83203125" style="338" customWidth="1"/>
    <col min="5639" max="5639" width="16.5" style="338" customWidth="1"/>
    <col min="5640" max="5640" width="17.83203125" style="338" customWidth="1"/>
    <col min="5641" max="5643" width="16.5" style="338" customWidth="1"/>
    <col min="5644" max="5644" width="17.83203125" style="338" bestFit="1" customWidth="1"/>
    <col min="5645" max="5645" width="16.5" style="338" customWidth="1"/>
    <col min="5646" max="5646" width="21" style="338" customWidth="1"/>
    <col min="5647" max="5647" width="16.5" style="338" customWidth="1"/>
    <col min="5648" max="5648" width="18.33203125" style="338" bestFit="1" customWidth="1"/>
    <col min="5649" max="5649" width="19.1640625" style="338" customWidth="1"/>
    <col min="5650" max="5651" width="18.33203125" style="338" customWidth="1"/>
    <col min="5652" max="5652" width="8.83203125" style="338"/>
    <col min="5653" max="5654" width="16.83203125" style="338" customWidth="1"/>
    <col min="5655" max="5656" width="11.6640625" style="338" customWidth="1"/>
    <col min="5657" max="5657" width="8.83203125" style="338"/>
    <col min="5658" max="5658" width="18.33203125" style="338" customWidth="1"/>
    <col min="5659" max="5659" width="16.5" style="338" customWidth="1"/>
    <col min="5660" max="5660" width="9.5" style="338" bestFit="1" customWidth="1"/>
    <col min="5661" max="5661" width="17.6640625" style="338" customWidth="1"/>
    <col min="5662" max="5662" width="14.83203125" style="338" bestFit="1" customWidth="1"/>
    <col min="5663" max="5873" width="8.83203125" style="338"/>
    <col min="5874" max="5874" width="24.1640625" style="338" customWidth="1"/>
    <col min="5875" max="5877" width="16.5" style="338" customWidth="1"/>
    <col min="5878" max="5878" width="18" style="338" customWidth="1"/>
    <col min="5879" max="5879" width="16.5" style="338" customWidth="1"/>
    <col min="5880" max="5880" width="4" style="338" customWidth="1"/>
    <col min="5881" max="5883" width="9.33203125" style="338" customWidth="1"/>
    <col min="5884" max="5884" width="22.5" style="338" customWidth="1"/>
    <col min="5885" max="5885" width="3.83203125" style="338" customWidth="1"/>
    <col min="5886" max="5886" width="16.5" style="338" customWidth="1"/>
    <col min="5887" max="5887" width="17.33203125" style="338" customWidth="1"/>
    <col min="5888" max="5891" width="16.5" style="338" customWidth="1"/>
    <col min="5892" max="5893" width="9.33203125" style="338" customWidth="1"/>
    <col min="5894" max="5894" width="18.83203125" style="338" customWidth="1"/>
    <col min="5895" max="5895" width="16.5" style="338" customWidth="1"/>
    <col min="5896" max="5896" width="17.83203125" style="338" customWidth="1"/>
    <col min="5897" max="5899" width="16.5" style="338" customWidth="1"/>
    <col min="5900" max="5900" width="17.83203125" style="338" bestFit="1" customWidth="1"/>
    <col min="5901" max="5901" width="16.5" style="338" customWidth="1"/>
    <col min="5902" max="5902" width="21" style="338" customWidth="1"/>
    <col min="5903" max="5903" width="16.5" style="338" customWidth="1"/>
    <col min="5904" max="5904" width="18.33203125" style="338" bestFit="1" customWidth="1"/>
    <col min="5905" max="5905" width="19.1640625" style="338" customWidth="1"/>
    <col min="5906" max="5907" width="18.33203125" style="338" customWidth="1"/>
    <col min="5908" max="5908" width="8.83203125" style="338"/>
    <col min="5909" max="5910" width="16.83203125" style="338" customWidth="1"/>
    <col min="5911" max="5912" width="11.6640625" style="338" customWidth="1"/>
    <col min="5913" max="5913" width="8.83203125" style="338"/>
    <col min="5914" max="5914" width="18.33203125" style="338" customWidth="1"/>
    <col min="5915" max="5915" width="16.5" style="338" customWidth="1"/>
    <col min="5916" max="5916" width="9.5" style="338" bestFit="1" customWidth="1"/>
    <col min="5917" max="5917" width="17.6640625" style="338" customWidth="1"/>
    <col min="5918" max="5918" width="14.83203125" style="338" bestFit="1" customWidth="1"/>
    <col min="5919" max="6129" width="8.83203125" style="338"/>
    <col min="6130" max="6130" width="24.1640625" style="338" customWidth="1"/>
    <col min="6131" max="6133" width="16.5" style="338" customWidth="1"/>
    <col min="6134" max="6134" width="18" style="338" customWidth="1"/>
    <col min="6135" max="6135" width="16.5" style="338" customWidth="1"/>
    <col min="6136" max="6136" width="4" style="338" customWidth="1"/>
    <col min="6137" max="6139" width="9.33203125" style="338" customWidth="1"/>
    <col min="6140" max="6140" width="22.5" style="338" customWidth="1"/>
    <col min="6141" max="6141" width="3.83203125" style="338" customWidth="1"/>
    <col min="6142" max="6142" width="16.5" style="338" customWidth="1"/>
    <col min="6143" max="6143" width="17.33203125" style="338" customWidth="1"/>
    <col min="6144" max="6147" width="16.5" style="338" customWidth="1"/>
    <col min="6148" max="6149" width="9.33203125" style="338" customWidth="1"/>
    <col min="6150" max="6150" width="18.83203125" style="338" customWidth="1"/>
    <col min="6151" max="6151" width="16.5" style="338" customWidth="1"/>
    <col min="6152" max="6152" width="17.83203125" style="338" customWidth="1"/>
    <col min="6153" max="6155" width="16.5" style="338" customWidth="1"/>
    <col min="6156" max="6156" width="17.83203125" style="338" bestFit="1" customWidth="1"/>
    <col min="6157" max="6157" width="16.5" style="338" customWidth="1"/>
    <col min="6158" max="6158" width="21" style="338" customWidth="1"/>
    <col min="6159" max="6159" width="16.5" style="338" customWidth="1"/>
    <col min="6160" max="6160" width="18.33203125" style="338" bestFit="1" customWidth="1"/>
    <col min="6161" max="6161" width="19.1640625" style="338" customWidth="1"/>
    <col min="6162" max="6163" width="18.33203125" style="338" customWidth="1"/>
    <col min="6164" max="6164" width="8.83203125" style="338"/>
    <col min="6165" max="6166" width="16.83203125" style="338" customWidth="1"/>
    <col min="6167" max="6168" width="11.6640625" style="338" customWidth="1"/>
    <col min="6169" max="6169" width="8.83203125" style="338"/>
    <col min="6170" max="6170" width="18.33203125" style="338" customWidth="1"/>
    <col min="6171" max="6171" width="16.5" style="338" customWidth="1"/>
    <col min="6172" max="6172" width="9.5" style="338" bestFit="1" customWidth="1"/>
    <col min="6173" max="6173" width="17.6640625" style="338" customWidth="1"/>
    <col min="6174" max="6174" width="14.83203125" style="338" bestFit="1" customWidth="1"/>
    <col min="6175" max="6385" width="8.83203125" style="338"/>
    <col min="6386" max="6386" width="24.1640625" style="338" customWidth="1"/>
    <col min="6387" max="6389" width="16.5" style="338" customWidth="1"/>
    <col min="6390" max="6390" width="18" style="338" customWidth="1"/>
    <col min="6391" max="6391" width="16.5" style="338" customWidth="1"/>
    <col min="6392" max="6392" width="4" style="338" customWidth="1"/>
    <col min="6393" max="6395" width="9.33203125" style="338" customWidth="1"/>
    <col min="6396" max="6396" width="22.5" style="338" customWidth="1"/>
    <col min="6397" max="6397" width="3.83203125" style="338" customWidth="1"/>
    <col min="6398" max="6398" width="16.5" style="338" customWidth="1"/>
    <col min="6399" max="6399" width="17.33203125" style="338" customWidth="1"/>
    <col min="6400" max="6403" width="16.5" style="338" customWidth="1"/>
    <col min="6404" max="6405" width="9.33203125" style="338" customWidth="1"/>
    <col min="6406" max="6406" width="18.83203125" style="338" customWidth="1"/>
    <col min="6407" max="6407" width="16.5" style="338" customWidth="1"/>
    <col min="6408" max="6408" width="17.83203125" style="338" customWidth="1"/>
    <col min="6409" max="6411" width="16.5" style="338" customWidth="1"/>
    <col min="6412" max="6412" width="17.83203125" style="338" bestFit="1" customWidth="1"/>
    <col min="6413" max="6413" width="16.5" style="338" customWidth="1"/>
    <col min="6414" max="6414" width="21" style="338" customWidth="1"/>
    <col min="6415" max="6415" width="16.5" style="338" customWidth="1"/>
    <col min="6416" max="6416" width="18.33203125" style="338" bestFit="1" customWidth="1"/>
    <col min="6417" max="6417" width="19.1640625" style="338" customWidth="1"/>
    <col min="6418" max="6419" width="18.33203125" style="338" customWidth="1"/>
    <col min="6420" max="6420" width="8.83203125" style="338"/>
    <col min="6421" max="6422" width="16.83203125" style="338" customWidth="1"/>
    <col min="6423" max="6424" width="11.6640625" style="338" customWidth="1"/>
    <col min="6425" max="6425" width="8.83203125" style="338"/>
    <col min="6426" max="6426" width="18.33203125" style="338" customWidth="1"/>
    <col min="6427" max="6427" width="16.5" style="338" customWidth="1"/>
    <col min="6428" max="6428" width="9.5" style="338" bestFit="1" customWidth="1"/>
    <col min="6429" max="6429" width="17.6640625" style="338" customWidth="1"/>
    <col min="6430" max="6430" width="14.83203125" style="338" bestFit="1" customWidth="1"/>
    <col min="6431" max="6641" width="8.83203125" style="338"/>
    <col min="6642" max="6642" width="24.1640625" style="338" customWidth="1"/>
    <col min="6643" max="6645" width="16.5" style="338" customWidth="1"/>
    <col min="6646" max="6646" width="18" style="338" customWidth="1"/>
    <col min="6647" max="6647" width="16.5" style="338" customWidth="1"/>
    <col min="6648" max="6648" width="4" style="338" customWidth="1"/>
    <col min="6649" max="6651" width="9.33203125" style="338" customWidth="1"/>
    <col min="6652" max="6652" width="22.5" style="338" customWidth="1"/>
    <col min="6653" max="6653" width="3.83203125" style="338" customWidth="1"/>
    <col min="6654" max="6654" width="16.5" style="338" customWidth="1"/>
    <col min="6655" max="6655" width="17.33203125" style="338" customWidth="1"/>
    <col min="6656" max="6659" width="16.5" style="338" customWidth="1"/>
    <col min="6660" max="6661" width="9.33203125" style="338" customWidth="1"/>
    <col min="6662" max="6662" width="18.83203125" style="338" customWidth="1"/>
    <col min="6663" max="6663" width="16.5" style="338" customWidth="1"/>
    <col min="6664" max="6664" width="17.83203125" style="338" customWidth="1"/>
    <col min="6665" max="6667" width="16.5" style="338" customWidth="1"/>
    <col min="6668" max="6668" width="17.83203125" style="338" bestFit="1" customWidth="1"/>
    <col min="6669" max="6669" width="16.5" style="338" customWidth="1"/>
    <col min="6670" max="6670" width="21" style="338" customWidth="1"/>
    <col min="6671" max="6671" width="16.5" style="338" customWidth="1"/>
    <col min="6672" max="6672" width="18.33203125" style="338" bestFit="1" customWidth="1"/>
    <col min="6673" max="6673" width="19.1640625" style="338" customWidth="1"/>
    <col min="6674" max="6675" width="18.33203125" style="338" customWidth="1"/>
    <col min="6676" max="6676" width="8.83203125" style="338"/>
    <col min="6677" max="6678" width="16.83203125" style="338" customWidth="1"/>
    <col min="6679" max="6680" width="11.6640625" style="338" customWidth="1"/>
    <col min="6681" max="6681" width="8.83203125" style="338"/>
    <col min="6682" max="6682" width="18.33203125" style="338" customWidth="1"/>
    <col min="6683" max="6683" width="16.5" style="338" customWidth="1"/>
    <col min="6684" max="6684" width="9.5" style="338" bestFit="1" customWidth="1"/>
    <col min="6685" max="6685" width="17.6640625" style="338" customWidth="1"/>
    <col min="6686" max="6686" width="14.83203125" style="338" bestFit="1" customWidth="1"/>
    <col min="6687" max="6897" width="8.83203125" style="338"/>
    <col min="6898" max="6898" width="24.1640625" style="338" customWidth="1"/>
    <col min="6899" max="6901" width="16.5" style="338" customWidth="1"/>
    <col min="6902" max="6902" width="18" style="338" customWidth="1"/>
    <col min="6903" max="6903" width="16.5" style="338" customWidth="1"/>
    <col min="6904" max="6904" width="4" style="338" customWidth="1"/>
    <col min="6905" max="6907" width="9.33203125" style="338" customWidth="1"/>
    <col min="6908" max="6908" width="22.5" style="338" customWidth="1"/>
    <col min="6909" max="6909" width="3.83203125" style="338" customWidth="1"/>
    <col min="6910" max="6910" width="16.5" style="338" customWidth="1"/>
    <col min="6911" max="6911" width="17.33203125" style="338" customWidth="1"/>
    <col min="6912" max="6915" width="16.5" style="338" customWidth="1"/>
    <col min="6916" max="6917" width="9.33203125" style="338" customWidth="1"/>
    <col min="6918" max="6918" width="18.83203125" style="338" customWidth="1"/>
    <col min="6919" max="6919" width="16.5" style="338" customWidth="1"/>
    <col min="6920" max="6920" width="17.83203125" style="338" customWidth="1"/>
    <col min="6921" max="6923" width="16.5" style="338" customWidth="1"/>
    <col min="6924" max="6924" width="17.83203125" style="338" bestFit="1" customWidth="1"/>
    <col min="6925" max="6925" width="16.5" style="338" customWidth="1"/>
    <col min="6926" max="6926" width="21" style="338" customWidth="1"/>
    <col min="6927" max="6927" width="16.5" style="338" customWidth="1"/>
    <col min="6928" max="6928" width="18.33203125" style="338" bestFit="1" customWidth="1"/>
    <col min="6929" max="6929" width="19.1640625" style="338" customWidth="1"/>
    <col min="6930" max="6931" width="18.33203125" style="338" customWidth="1"/>
    <col min="6932" max="6932" width="8.83203125" style="338"/>
    <col min="6933" max="6934" width="16.83203125" style="338" customWidth="1"/>
    <col min="6935" max="6936" width="11.6640625" style="338" customWidth="1"/>
    <col min="6937" max="6937" width="8.83203125" style="338"/>
    <col min="6938" max="6938" width="18.33203125" style="338" customWidth="1"/>
    <col min="6939" max="6939" width="16.5" style="338" customWidth="1"/>
    <col min="6940" max="6940" width="9.5" style="338" bestFit="1" customWidth="1"/>
    <col min="6941" max="6941" width="17.6640625" style="338" customWidth="1"/>
    <col min="6942" max="6942" width="14.83203125" style="338" bestFit="1" customWidth="1"/>
    <col min="6943" max="7153" width="8.83203125" style="338"/>
    <col min="7154" max="7154" width="24.1640625" style="338" customWidth="1"/>
    <col min="7155" max="7157" width="16.5" style="338" customWidth="1"/>
    <col min="7158" max="7158" width="18" style="338" customWidth="1"/>
    <col min="7159" max="7159" width="16.5" style="338" customWidth="1"/>
    <col min="7160" max="7160" width="4" style="338" customWidth="1"/>
    <col min="7161" max="7163" width="9.33203125" style="338" customWidth="1"/>
    <col min="7164" max="7164" width="22.5" style="338" customWidth="1"/>
    <col min="7165" max="7165" width="3.83203125" style="338" customWidth="1"/>
    <col min="7166" max="7166" width="16.5" style="338" customWidth="1"/>
    <col min="7167" max="7167" width="17.33203125" style="338" customWidth="1"/>
    <col min="7168" max="7171" width="16.5" style="338" customWidth="1"/>
    <col min="7172" max="7173" width="9.33203125" style="338" customWidth="1"/>
    <col min="7174" max="7174" width="18.83203125" style="338" customWidth="1"/>
    <col min="7175" max="7175" width="16.5" style="338" customWidth="1"/>
    <col min="7176" max="7176" width="17.83203125" style="338" customWidth="1"/>
    <col min="7177" max="7179" width="16.5" style="338" customWidth="1"/>
    <col min="7180" max="7180" width="17.83203125" style="338" bestFit="1" customWidth="1"/>
    <col min="7181" max="7181" width="16.5" style="338" customWidth="1"/>
    <col min="7182" max="7182" width="21" style="338" customWidth="1"/>
    <col min="7183" max="7183" width="16.5" style="338" customWidth="1"/>
    <col min="7184" max="7184" width="18.33203125" style="338" bestFit="1" customWidth="1"/>
    <col min="7185" max="7185" width="19.1640625" style="338" customWidth="1"/>
    <col min="7186" max="7187" width="18.33203125" style="338" customWidth="1"/>
    <col min="7188" max="7188" width="8.83203125" style="338"/>
    <col min="7189" max="7190" width="16.83203125" style="338" customWidth="1"/>
    <col min="7191" max="7192" width="11.6640625" style="338" customWidth="1"/>
    <col min="7193" max="7193" width="8.83203125" style="338"/>
    <col min="7194" max="7194" width="18.33203125" style="338" customWidth="1"/>
    <col min="7195" max="7195" width="16.5" style="338" customWidth="1"/>
    <col min="7196" max="7196" width="9.5" style="338" bestFit="1" customWidth="1"/>
    <col min="7197" max="7197" width="17.6640625" style="338" customWidth="1"/>
    <col min="7198" max="7198" width="14.83203125" style="338" bestFit="1" customWidth="1"/>
    <col min="7199" max="7409" width="8.83203125" style="338"/>
    <col min="7410" max="7410" width="24.1640625" style="338" customWidth="1"/>
    <col min="7411" max="7413" width="16.5" style="338" customWidth="1"/>
    <col min="7414" max="7414" width="18" style="338" customWidth="1"/>
    <col min="7415" max="7415" width="16.5" style="338" customWidth="1"/>
    <col min="7416" max="7416" width="4" style="338" customWidth="1"/>
    <col min="7417" max="7419" width="9.33203125" style="338" customWidth="1"/>
    <col min="7420" max="7420" width="22.5" style="338" customWidth="1"/>
    <col min="7421" max="7421" width="3.83203125" style="338" customWidth="1"/>
    <col min="7422" max="7422" width="16.5" style="338" customWidth="1"/>
    <col min="7423" max="7423" width="17.33203125" style="338" customWidth="1"/>
    <col min="7424" max="7427" width="16.5" style="338" customWidth="1"/>
    <col min="7428" max="7429" width="9.33203125" style="338" customWidth="1"/>
    <col min="7430" max="7430" width="18.83203125" style="338" customWidth="1"/>
    <col min="7431" max="7431" width="16.5" style="338" customWidth="1"/>
    <col min="7432" max="7432" width="17.83203125" style="338" customWidth="1"/>
    <col min="7433" max="7435" width="16.5" style="338" customWidth="1"/>
    <col min="7436" max="7436" width="17.83203125" style="338" bestFit="1" customWidth="1"/>
    <col min="7437" max="7437" width="16.5" style="338" customWidth="1"/>
    <col min="7438" max="7438" width="21" style="338" customWidth="1"/>
    <col min="7439" max="7439" width="16.5" style="338" customWidth="1"/>
    <col min="7440" max="7440" width="18.33203125" style="338" bestFit="1" customWidth="1"/>
    <col min="7441" max="7441" width="19.1640625" style="338" customWidth="1"/>
    <col min="7442" max="7443" width="18.33203125" style="338" customWidth="1"/>
    <col min="7444" max="7444" width="8.83203125" style="338"/>
    <col min="7445" max="7446" width="16.83203125" style="338" customWidth="1"/>
    <col min="7447" max="7448" width="11.6640625" style="338" customWidth="1"/>
    <col min="7449" max="7449" width="8.83203125" style="338"/>
    <col min="7450" max="7450" width="18.33203125" style="338" customWidth="1"/>
    <col min="7451" max="7451" width="16.5" style="338" customWidth="1"/>
    <col min="7452" max="7452" width="9.5" style="338" bestFit="1" customWidth="1"/>
    <col min="7453" max="7453" width="17.6640625" style="338" customWidth="1"/>
    <col min="7454" max="7454" width="14.83203125" style="338" bestFit="1" customWidth="1"/>
    <col min="7455" max="7665" width="8.83203125" style="338"/>
    <col min="7666" max="7666" width="24.1640625" style="338" customWidth="1"/>
    <col min="7667" max="7669" width="16.5" style="338" customWidth="1"/>
    <col min="7670" max="7670" width="18" style="338" customWidth="1"/>
    <col min="7671" max="7671" width="16.5" style="338" customWidth="1"/>
    <col min="7672" max="7672" width="4" style="338" customWidth="1"/>
    <col min="7673" max="7675" width="9.33203125" style="338" customWidth="1"/>
    <col min="7676" max="7676" width="22.5" style="338" customWidth="1"/>
    <col min="7677" max="7677" width="3.83203125" style="338" customWidth="1"/>
    <col min="7678" max="7678" width="16.5" style="338" customWidth="1"/>
    <col min="7679" max="7679" width="17.33203125" style="338" customWidth="1"/>
    <col min="7680" max="7683" width="16.5" style="338" customWidth="1"/>
    <col min="7684" max="7685" width="9.33203125" style="338" customWidth="1"/>
    <col min="7686" max="7686" width="18.83203125" style="338" customWidth="1"/>
    <col min="7687" max="7687" width="16.5" style="338" customWidth="1"/>
    <col min="7688" max="7688" width="17.83203125" style="338" customWidth="1"/>
    <col min="7689" max="7691" width="16.5" style="338" customWidth="1"/>
    <col min="7692" max="7692" width="17.83203125" style="338" bestFit="1" customWidth="1"/>
    <col min="7693" max="7693" width="16.5" style="338" customWidth="1"/>
    <col min="7694" max="7694" width="21" style="338" customWidth="1"/>
    <col min="7695" max="7695" width="16.5" style="338" customWidth="1"/>
    <col min="7696" max="7696" width="18.33203125" style="338" bestFit="1" customWidth="1"/>
    <col min="7697" max="7697" width="19.1640625" style="338" customWidth="1"/>
    <col min="7698" max="7699" width="18.33203125" style="338" customWidth="1"/>
    <col min="7700" max="7700" width="8.83203125" style="338"/>
    <col min="7701" max="7702" width="16.83203125" style="338" customWidth="1"/>
    <col min="7703" max="7704" width="11.6640625" style="338" customWidth="1"/>
    <col min="7705" max="7705" width="8.83203125" style="338"/>
    <col min="7706" max="7706" width="18.33203125" style="338" customWidth="1"/>
    <col min="7707" max="7707" width="16.5" style="338" customWidth="1"/>
    <col min="7708" max="7708" width="9.5" style="338" bestFit="1" customWidth="1"/>
    <col min="7709" max="7709" width="17.6640625" style="338" customWidth="1"/>
    <col min="7710" max="7710" width="14.83203125" style="338" bestFit="1" customWidth="1"/>
    <col min="7711" max="7921" width="8.83203125" style="338"/>
    <col min="7922" max="7922" width="24.1640625" style="338" customWidth="1"/>
    <col min="7923" max="7925" width="16.5" style="338" customWidth="1"/>
    <col min="7926" max="7926" width="18" style="338" customWidth="1"/>
    <col min="7927" max="7927" width="16.5" style="338" customWidth="1"/>
    <col min="7928" max="7928" width="4" style="338" customWidth="1"/>
    <col min="7929" max="7931" width="9.33203125" style="338" customWidth="1"/>
    <col min="7932" max="7932" width="22.5" style="338" customWidth="1"/>
    <col min="7933" max="7933" width="3.83203125" style="338" customWidth="1"/>
    <col min="7934" max="7934" width="16.5" style="338" customWidth="1"/>
    <col min="7935" max="7935" width="17.33203125" style="338" customWidth="1"/>
    <col min="7936" max="7939" width="16.5" style="338" customWidth="1"/>
    <col min="7940" max="7941" width="9.33203125" style="338" customWidth="1"/>
    <col min="7942" max="7942" width="18.83203125" style="338" customWidth="1"/>
    <col min="7943" max="7943" width="16.5" style="338" customWidth="1"/>
    <col min="7944" max="7944" width="17.83203125" style="338" customWidth="1"/>
    <col min="7945" max="7947" width="16.5" style="338" customWidth="1"/>
    <col min="7948" max="7948" width="17.83203125" style="338" bestFit="1" customWidth="1"/>
    <col min="7949" max="7949" width="16.5" style="338" customWidth="1"/>
    <col min="7950" max="7950" width="21" style="338" customWidth="1"/>
    <col min="7951" max="7951" width="16.5" style="338" customWidth="1"/>
    <col min="7952" max="7952" width="18.33203125" style="338" bestFit="1" customWidth="1"/>
    <col min="7953" max="7953" width="19.1640625" style="338" customWidth="1"/>
    <col min="7954" max="7955" width="18.33203125" style="338" customWidth="1"/>
    <col min="7956" max="7956" width="8.83203125" style="338"/>
    <col min="7957" max="7958" width="16.83203125" style="338" customWidth="1"/>
    <col min="7959" max="7960" width="11.6640625" style="338" customWidth="1"/>
    <col min="7961" max="7961" width="8.83203125" style="338"/>
    <col min="7962" max="7962" width="18.33203125" style="338" customWidth="1"/>
    <col min="7963" max="7963" width="16.5" style="338" customWidth="1"/>
    <col min="7964" max="7964" width="9.5" style="338" bestFit="1" customWidth="1"/>
    <col min="7965" max="7965" width="17.6640625" style="338" customWidth="1"/>
    <col min="7966" max="7966" width="14.83203125" style="338" bestFit="1" customWidth="1"/>
    <col min="7967" max="8177" width="8.83203125" style="338"/>
    <col min="8178" max="8178" width="24.1640625" style="338" customWidth="1"/>
    <col min="8179" max="8181" width="16.5" style="338" customWidth="1"/>
    <col min="8182" max="8182" width="18" style="338" customWidth="1"/>
    <col min="8183" max="8183" width="16.5" style="338" customWidth="1"/>
    <col min="8184" max="8184" width="4" style="338" customWidth="1"/>
    <col min="8185" max="8187" width="9.33203125" style="338" customWidth="1"/>
    <col min="8188" max="8188" width="22.5" style="338" customWidth="1"/>
    <col min="8189" max="8189" width="3.83203125" style="338" customWidth="1"/>
    <col min="8190" max="8190" width="16.5" style="338" customWidth="1"/>
    <col min="8191" max="8191" width="17.33203125" style="338" customWidth="1"/>
    <col min="8192" max="8195" width="16.5" style="338" customWidth="1"/>
    <col min="8196" max="8197" width="9.33203125" style="338" customWidth="1"/>
    <col min="8198" max="8198" width="18.83203125" style="338" customWidth="1"/>
    <col min="8199" max="8199" width="16.5" style="338" customWidth="1"/>
    <col min="8200" max="8200" width="17.83203125" style="338" customWidth="1"/>
    <col min="8201" max="8203" width="16.5" style="338" customWidth="1"/>
    <col min="8204" max="8204" width="17.83203125" style="338" bestFit="1" customWidth="1"/>
    <col min="8205" max="8205" width="16.5" style="338" customWidth="1"/>
    <col min="8206" max="8206" width="21" style="338" customWidth="1"/>
    <col min="8207" max="8207" width="16.5" style="338" customWidth="1"/>
    <col min="8208" max="8208" width="18.33203125" style="338" bestFit="1" customWidth="1"/>
    <col min="8209" max="8209" width="19.1640625" style="338" customWidth="1"/>
    <col min="8210" max="8211" width="18.33203125" style="338" customWidth="1"/>
    <col min="8212" max="8212" width="8.83203125" style="338"/>
    <col min="8213" max="8214" width="16.83203125" style="338" customWidth="1"/>
    <col min="8215" max="8216" width="11.6640625" style="338" customWidth="1"/>
    <col min="8217" max="8217" width="8.83203125" style="338"/>
    <col min="8218" max="8218" width="18.33203125" style="338" customWidth="1"/>
    <col min="8219" max="8219" width="16.5" style="338" customWidth="1"/>
    <col min="8220" max="8220" width="9.5" style="338" bestFit="1" customWidth="1"/>
    <col min="8221" max="8221" width="17.6640625" style="338" customWidth="1"/>
    <col min="8222" max="8222" width="14.83203125" style="338" bestFit="1" customWidth="1"/>
    <col min="8223" max="8433" width="8.83203125" style="338"/>
    <col min="8434" max="8434" width="24.1640625" style="338" customWidth="1"/>
    <col min="8435" max="8437" width="16.5" style="338" customWidth="1"/>
    <col min="8438" max="8438" width="18" style="338" customWidth="1"/>
    <col min="8439" max="8439" width="16.5" style="338" customWidth="1"/>
    <col min="8440" max="8440" width="4" style="338" customWidth="1"/>
    <col min="8441" max="8443" width="9.33203125" style="338" customWidth="1"/>
    <col min="8444" max="8444" width="22.5" style="338" customWidth="1"/>
    <col min="8445" max="8445" width="3.83203125" style="338" customWidth="1"/>
    <col min="8446" max="8446" width="16.5" style="338" customWidth="1"/>
    <col min="8447" max="8447" width="17.33203125" style="338" customWidth="1"/>
    <col min="8448" max="8451" width="16.5" style="338" customWidth="1"/>
    <col min="8452" max="8453" width="9.33203125" style="338" customWidth="1"/>
    <col min="8454" max="8454" width="18.83203125" style="338" customWidth="1"/>
    <col min="8455" max="8455" width="16.5" style="338" customWidth="1"/>
    <col min="8456" max="8456" width="17.83203125" style="338" customWidth="1"/>
    <col min="8457" max="8459" width="16.5" style="338" customWidth="1"/>
    <col min="8460" max="8460" width="17.83203125" style="338" bestFit="1" customWidth="1"/>
    <col min="8461" max="8461" width="16.5" style="338" customWidth="1"/>
    <col min="8462" max="8462" width="21" style="338" customWidth="1"/>
    <col min="8463" max="8463" width="16.5" style="338" customWidth="1"/>
    <col min="8464" max="8464" width="18.33203125" style="338" bestFit="1" customWidth="1"/>
    <col min="8465" max="8465" width="19.1640625" style="338" customWidth="1"/>
    <col min="8466" max="8467" width="18.33203125" style="338" customWidth="1"/>
    <col min="8468" max="8468" width="8.83203125" style="338"/>
    <col min="8469" max="8470" width="16.83203125" style="338" customWidth="1"/>
    <col min="8471" max="8472" width="11.6640625" style="338" customWidth="1"/>
    <col min="8473" max="8473" width="8.83203125" style="338"/>
    <col min="8474" max="8474" width="18.33203125" style="338" customWidth="1"/>
    <col min="8475" max="8475" width="16.5" style="338" customWidth="1"/>
    <col min="8476" max="8476" width="9.5" style="338" bestFit="1" customWidth="1"/>
    <col min="8477" max="8477" width="17.6640625" style="338" customWidth="1"/>
    <col min="8478" max="8478" width="14.83203125" style="338" bestFit="1" customWidth="1"/>
    <col min="8479" max="8689" width="8.83203125" style="338"/>
    <col min="8690" max="8690" width="24.1640625" style="338" customWidth="1"/>
    <col min="8691" max="8693" width="16.5" style="338" customWidth="1"/>
    <col min="8694" max="8694" width="18" style="338" customWidth="1"/>
    <col min="8695" max="8695" width="16.5" style="338" customWidth="1"/>
    <col min="8696" max="8696" width="4" style="338" customWidth="1"/>
    <col min="8697" max="8699" width="9.33203125" style="338" customWidth="1"/>
    <col min="8700" max="8700" width="22.5" style="338" customWidth="1"/>
    <col min="8701" max="8701" width="3.83203125" style="338" customWidth="1"/>
    <col min="8702" max="8702" width="16.5" style="338" customWidth="1"/>
    <col min="8703" max="8703" width="17.33203125" style="338" customWidth="1"/>
    <col min="8704" max="8707" width="16.5" style="338" customWidth="1"/>
    <col min="8708" max="8709" width="9.33203125" style="338" customWidth="1"/>
    <col min="8710" max="8710" width="18.83203125" style="338" customWidth="1"/>
    <col min="8711" max="8711" width="16.5" style="338" customWidth="1"/>
    <col min="8712" max="8712" width="17.83203125" style="338" customWidth="1"/>
    <col min="8713" max="8715" width="16.5" style="338" customWidth="1"/>
    <col min="8716" max="8716" width="17.83203125" style="338" bestFit="1" customWidth="1"/>
    <col min="8717" max="8717" width="16.5" style="338" customWidth="1"/>
    <col min="8718" max="8718" width="21" style="338" customWidth="1"/>
    <col min="8719" max="8719" width="16.5" style="338" customWidth="1"/>
    <col min="8720" max="8720" width="18.33203125" style="338" bestFit="1" customWidth="1"/>
    <col min="8721" max="8721" width="19.1640625" style="338" customWidth="1"/>
    <col min="8722" max="8723" width="18.33203125" style="338" customWidth="1"/>
    <col min="8724" max="8724" width="8.83203125" style="338"/>
    <col min="8725" max="8726" width="16.83203125" style="338" customWidth="1"/>
    <col min="8727" max="8728" width="11.6640625" style="338" customWidth="1"/>
    <col min="8729" max="8729" width="8.83203125" style="338"/>
    <col min="8730" max="8730" width="18.33203125" style="338" customWidth="1"/>
    <col min="8731" max="8731" width="16.5" style="338" customWidth="1"/>
    <col min="8732" max="8732" width="9.5" style="338" bestFit="1" customWidth="1"/>
    <col min="8733" max="8733" width="17.6640625" style="338" customWidth="1"/>
    <col min="8734" max="8734" width="14.83203125" style="338" bestFit="1" customWidth="1"/>
    <col min="8735" max="8945" width="8.83203125" style="338"/>
    <col min="8946" max="8946" width="24.1640625" style="338" customWidth="1"/>
    <col min="8947" max="8949" width="16.5" style="338" customWidth="1"/>
    <col min="8950" max="8950" width="18" style="338" customWidth="1"/>
    <col min="8951" max="8951" width="16.5" style="338" customWidth="1"/>
    <col min="8952" max="8952" width="4" style="338" customWidth="1"/>
    <col min="8953" max="8955" width="9.33203125" style="338" customWidth="1"/>
    <col min="8956" max="8956" width="22.5" style="338" customWidth="1"/>
    <col min="8957" max="8957" width="3.83203125" style="338" customWidth="1"/>
    <col min="8958" max="8958" width="16.5" style="338" customWidth="1"/>
    <col min="8959" max="8959" width="17.33203125" style="338" customWidth="1"/>
    <col min="8960" max="8963" width="16.5" style="338" customWidth="1"/>
    <col min="8964" max="8965" width="9.33203125" style="338" customWidth="1"/>
    <col min="8966" max="8966" width="18.83203125" style="338" customWidth="1"/>
    <col min="8967" max="8967" width="16.5" style="338" customWidth="1"/>
    <col min="8968" max="8968" width="17.83203125" style="338" customWidth="1"/>
    <col min="8969" max="8971" width="16.5" style="338" customWidth="1"/>
    <col min="8972" max="8972" width="17.83203125" style="338" bestFit="1" customWidth="1"/>
    <col min="8973" max="8973" width="16.5" style="338" customWidth="1"/>
    <col min="8974" max="8974" width="21" style="338" customWidth="1"/>
    <col min="8975" max="8975" width="16.5" style="338" customWidth="1"/>
    <col min="8976" max="8976" width="18.33203125" style="338" bestFit="1" customWidth="1"/>
    <col min="8977" max="8977" width="19.1640625" style="338" customWidth="1"/>
    <col min="8978" max="8979" width="18.33203125" style="338" customWidth="1"/>
    <col min="8980" max="8980" width="8.83203125" style="338"/>
    <col min="8981" max="8982" width="16.83203125" style="338" customWidth="1"/>
    <col min="8983" max="8984" width="11.6640625" style="338" customWidth="1"/>
    <col min="8985" max="8985" width="8.83203125" style="338"/>
    <col min="8986" max="8986" width="18.33203125" style="338" customWidth="1"/>
    <col min="8987" max="8987" width="16.5" style="338" customWidth="1"/>
    <col min="8988" max="8988" width="9.5" style="338" bestFit="1" customWidth="1"/>
    <col min="8989" max="8989" width="17.6640625" style="338" customWidth="1"/>
    <col min="8990" max="8990" width="14.83203125" style="338" bestFit="1" customWidth="1"/>
    <col min="8991" max="9201" width="8.83203125" style="338"/>
    <col min="9202" max="9202" width="24.1640625" style="338" customWidth="1"/>
    <col min="9203" max="9205" width="16.5" style="338" customWidth="1"/>
    <col min="9206" max="9206" width="18" style="338" customWidth="1"/>
    <col min="9207" max="9207" width="16.5" style="338" customWidth="1"/>
    <col min="9208" max="9208" width="4" style="338" customWidth="1"/>
    <col min="9209" max="9211" width="9.33203125" style="338" customWidth="1"/>
    <col min="9212" max="9212" width="22.5" style="338" customWidth="1"/>
    <col min="9213" max="9213" width="3.83203125" style="338" customWidth="1"/>
    <col min="9214" max="9214" width="16.5" style="338" customWidth="1"/>
    <col min="9215" max="9215" width="17.33203125" style="338" customWidth="1"/>
    <col min="9216" max="9219" width="16.5" style="338" customWidth="1"/>
    <col min="9220" max="9221" width="9.33203125" style="338" customWidth="1"/>
    <col min="9222" max="9222" width="18.83203125" style="338" customWidth="1"/>
    <col min="9223" max="9223" width="16.5" style="338" customWidth="1"/>
    <col min="9224" max="9224" width="17.83203125" style="338" customWidth="1"/>
    <col min="9225" max="9227" width="16.5" style="338" customWidth="1"/>
    <col min="9228" max="9228" width="17.83203125" style="338" bestFit="1" customWidth="1"/>
    <col min="9229" max="9229" width="16.5" style="338" customWidth="1"/>
    <col min="9230" max="9230" width="21" style="338" customWidth="1"/>
    <col min="9231" max="9231" width="16.5" style="338" customWidth="1"/>
    <col min="9232" max="9232" width="18.33203125" style="338" bestFit="1" customWidth="1"/>
    <col min="9233" max="9233" width="19.1640625" style="338" customWidth="1"/>
    <col min="9234" max="9235" width="18.33203125" style="338" customWidth="1"/>
    <col min="9236" max="9236" width="8.83203125" style="338"/>
    <col min="9237" max="9238" width="16.83203125" style="338" customWidth="1"/>
    <col min="9239" max="9240" width="11.6640625" style="338" customWidth="1"/>
    <col min="9241" max="9241" width="8.83203125" style="338"/>
    <col min="9242" max="9242" width="18.33203125" style="338" customWidth="1"/>
    <col min="9243" max="9243" width="16.5" style="338" customWidth="1"/>
    <col min="9244" max="9244" width="9.5" style="338" bestFit="1" customWidth="1"/>
    <col min="9245" max="9245" width="17.6640625" style="338" customWidth="1"/>
    <col min="9246" max="9246" width="14.83203125" style="338" bestFit="1" customWidth="1"/>
    <col min="9247" max="9457" width="8.83203125" style="338"/>
    <col min="9458" max="9458" width="24.1640625" style="338" customWidth="1"/>
    <col min="9459" max="9461" width="16.5" style="338" customWidth="1"/>
    <col min="9462" max="9462" width="18" style="338" customWidth="1"/>
    <col min="9463" max="9463" width="16.5" style="338" customWidth="1"/>
    <col min="9464" max="9464" width="4" style="338" customWidth="1"/>
    <col min="9465" max="9467" width="9.33203125" style="338" customWidth="1"/>
    <col min="9468" max="9468" width="22.5" style="338" customWidth="1"/>
    <col min="9469" max="9469" width="3.83203125" style="338" customWidth="1"/>
    <col min="9470" max="9470" width="16.5" style="338" customWidth="1"/>
    <col min="9471" max="9471" width="17.33203125" style="338" customWidth="1"/>
    <col min="9472" max="9475" width="16.5" style="338" customWidth="1"/>
    <col min="9476" max="9477" width="9.33203125" style="338" customWidth="1"/>
    <col min="9478" max="9478" width="18.83203125" style="338" customWidth="1"/>
    <col min="9479" max="9479" width="16.5" style="338" customWidth="1"/>
    <col min="9480" max="9480" width="17.83203125" style="338" customWidth="1"/>
    <col min="9481" max="9483" width="16.5" style="338" customWidth="1"/>
    <col min="9484" max="9484" width="17.83203125" style="338" bestFit="1" customWidth="1"/>
    <col min="9485" max="9485" width="16.5" style="338" customWidth="1"/>
    <col min="9486" max="9486" width="21" style="338" customWidth="1"/>
    <col min="9487" max="9487" width="16.5" style="338" customWidth="1"/>
    <col min="9488" max="9488" width="18.33203125" style="338" bestFit="1" customWidth="1"/>
    <col min="9489" max="9489" width="19.1640625" style="338" customWidth="1"/>
    <col min="9490" max="9491" width="18.33203125" style="338" customWidth="1"/>
    <col min="9492" max="9492" width="8.83203125" style="338"/>
    <col min="9493" max="9494" width="16.83203125" style="338" customWidth="1"/>
    <col min="9495" max="9496" width="11.6640625" style="338" customWidth="1"/>
    <col min="9497" max="9497" width="8.83203125" style="338"/>
    <col min="9498" max="9498" width="18.33203125" style="338" customWidth="1"/>
    <col min="9499" max="9499" width="16.5" style="338" customWidth="1"/>
    <col min="9500" max="9500" width="9.5" style="338" bestFit="1" customWidth="1"/>
    <col min="9501" max="9501" width="17.6640625" style="338" customWidth="1"/>
    <col min="9502" max="9502" width="14.83203125" style="338" bestFit="1" customWidth="1"/>
    <col min="9503" max="9713" width="8.83203125" style="338"/>
    <col min="9714" max="9714" width="24.1640625" style="338" customWidth="1"/>
    <col min="9715" max="9717" width="16.5" style="338" customWidth="1"/>
    <col min="9718" max="9718" width="18" style="338" customWidth="1"/>
    <col min="9719" max="9719" width="16.5" style="338" customWidth="1"/>
    <col min="9720" max="9720" width="4" style="338" customWidth="1"/>
    <col min="9721" max="9723" width="9.33203125" style="338" customWidth="1"/>
    <col min="9724" max="9724" width="22.5" style="338" customWidth="1"/>
    <col min="9725" max="9725" width="3.83203125" style="338" customWidth="1"/>
    <col min="9726" max="9726" width="16.5" style="338" customWidth="1"/>
    <col min="9727" max="9727" width="17.33203125" style="338" customWidth="1"/>
    <col min="9728" max="9731" width="16.5" style="338" customWidth="1"/>
    <col min="9732" max="9733" width="9.33203125" style="338" customWidth="1"/>
    <col min="9734" max="9734" width="18.83203125" style="338" customWidth="1"/>
    <col min="9735" max="9735" width="16.5" style="338" customWidth="1"/>
    <col min="9736" max="9736" width="17.83203125" style="338" customWidth="1"/>
    <col min="9737" max="9739" width="16.5" style="338" customWidth="1"/>
    <col min="9740" max="9740" width="17.83203125" style="338" bestFit="1" customWidth="1"/>
    <col min="9741" max="9741" width="16.5" style="338" customWidth="1"/>
    <col min="9742" max="9742" width="21" style="338" customWidth="1"/>
    <col min="9743" max="9743" width="16.5" style="338" customWidth="1"/>
    <col min="9744" max="9744" width="18.33203125" style="338" bestFit="1" customWidth="1"/>
    <col min="9745" max="9745" width="19.1640625" style="338" customWidth="1"/>
    <col min="9746" max="9747" width="18.33203125" style="338" customWidth="1"/>
    <col min="9748" max="9748" width="8.83203125" style="338"/>
    <col min="9749" max="9750" width="16.83203125" style="338" customWidth="1"/>
    <col min="9751" max="9752" width="11.6640625" style="338" customWidth="1"/>
    <col min="9753" max="9753" width="8.83203125" style="338"/>
    <col min="9754" max="9754" width="18.33203125" style="338" customWidth="1"/>
    <col min="9755" max="9755" width="16.5" style="338" customWidth="1"/>
    <col min="9756" max="9756" width="9.5" style="338" bestFit="1" customWidth="1"/>
    <col min="9757" max="9757" width="17.6640625" style="338" customWidth="1"/>
    <col min="9758" max="9758" width="14.83203125" style="338" bestFit="1" customWidth="1"/>
    <col min="9759" max="9969" width="8.83203125" style="338"/>
    <col min="9970" max="9970" width="24.1640625" style="338" customWidth="1"/>
    <col min="9971" max="9973" width="16.5" style="338" customWidth="1"/>
    <col min="9974" max="9974" width="18" style="338" customWidth="1"/>
    <col min="9975" max="9975" width="16.5" style="338" customWidth="1"/>
    <col min="9976" max="9976" width="4" style="338" customWidth="1"/>
    <col min="9977" max="9979" width="9.33203125" style="338" customWidth="1"/>
    <col min="9980" max="9980" width="22.5" style="338" customWidth="1"/>
    <col min="9981" max="9981" width="3.83203125" style="338" customWidth="1"/>
    <col min="9982" max="9982" width="16.5" style="338" customWidth="1"/>
    <col min="9983" max="9983" width="17.33203125" style="338" customWidth="1"/>
    <col min="9984" max="9987" width="16.5" style="338" customWidth="1"/>
    <col min="9988" max="9989" width="9.33203125" style="338" customWidth="1"/>
    <col min="9990" max="9990" width="18.83203125" style="338" customWidth="1"/>
    <col min="9991" max="9991" width="16.5" style="338" customWidth="1"/>
    <col min="9992" max="9992" width="17.83203125" style="338" customWidth="1"/>
    <col min="9993" max="9995" width="16.5" style="338" customWidth="1"/>
    <col min="9996" max="9996" width="17.83203125" style="338" bestFit="1" customWidth="1"/>
    <col min="9997" max="9997" width="16.5" style="338" customWidth="1"/>
    <col min="9998" max="9998" width="21" style="338" customWidth="1"/>
    <col min="9999" max="9999" width="16.5" style="338" customWidth="1"/>
    <col min="10000" max="10000" width="18.33203125" style="338" bestFit="1" customWidth="1"/>
    <col min="10001" max="10001" width="19.1640625" style="338" customWidth="1"/>
    <col min="10002" max="10003" width="18.33203125" style="338" customWidth="1"/>
    <col min="10004" max="10004" width="8.83203125" style="338"/>
    <col min="10005" max="10006" width="16.83203125" style="338" customWidth="1"/>
    <col min="10007" max="10008" width="11.6640625" style="338" customWidth="1"/>
    <col min="10009" max="10009" width="8.83203125" style="338"/>
    <col min="10010" max="10010" width="18.33203125" style="338" customWidth="1"/>
    <col min="10011" max="10011" width="16.5" style="338" customWidth="1"/>
    <col min="10012" max="10012" width="9.5" style="338" bestFit="1" customWidth="1"/>
    <col min="10013" max="10013" width="17.6640625" style="338" customWidth="1"/>
    <col min="10014" max="10014" width="14.83203125" style="338" bestFit="1" customWidth="1"/>
    <col min="10015" max="10225" width="8.83203125" style="338"/>
    <col min="10226" max="10226" width="24.1640625" style="338" customWidth="1"/>
    <col min="10227" max="10229" width="16.5" style="338" customWidth="1"/>
    <col min="10230" max="10230" width="18" style="338" customWidth="1"/>
    <col min="10231" max="10231" width="16.5" style="338" customWidth="1"/>
    <col min="10232" max="10232" width="4" style="338" customWidth="1"/>
    <col min="10233" max="10235" width="9.33203125" style="338" customWidth="1"/>
    <col min="10236" max="10236" width="22.5" style="338" customWidth="1"/>
    <col min="10237" max="10237" width="3.83203125" style="338" customWidth="1"/>
    <col min="10238" max="10238" width="16.5" style="338" customWidth="1"/>
    <col min="10239" max="10239" width="17.33203125" style="338" customWidth="1"/>
    <col min="10240" max="10243" width="16.5" style="338" customWidth="1"/>
    <col min="10244" max="10245" width="9.33203125" style="338" customWidth="1"/>
    <col min="10246" max="10246" width="18.83203125" style="338" customWidth="1"/>
    <col min="10247" max="10247" width="16.5" style="338" customWidth="1"/>
    <col min="10248" max="10248" width="17.83203125" style="338" customWidth="1"/>
    <col min="10249" max="10251" width="16.5" style="338" customWidth="1"/>
    <col min="10252" max="10252" width="17.83203125" style="338" bestFit="1" customWidth="1"/>
    <col min="10253" max="10253" width="16.5" style="338" customWidth="1"/>
    <col min="10254" max="10254" width="21" style="338" customWidth="1"/>
    <col min="10255" max="10255" width="16.5" style="338" customWidth="1"/>
    <col min="10256" max="10256" width="18.33203125" style="338" bestFit="1" customWidth="1"/>
    <col min="10257" max="10257" width="19.1640625" style="338" customWidth="1"/>
    <col min="10258" max="10259" width="18.33203125" style="338" customWidth="1"/>
    <col min="10260" max="10260" width="8.83203125" style="338"/>
    <col min="10261" max="10262" width="16.83203125" style="338" customWidth="1"/>
    <col min="10263" max="10264" width="11.6640625" style="338" customWidth="1"/>
    <col min="10265" max="10265" width="8.83203125" style="338"/>
    <col min="10266" max="10266" width="18.33203125" style="338" customWidth="1"/>
    <col min="10267" max="10267" width="16.5" style="338" customWidth="1"/>
    <col min="10268" max="10268" width="9.5" style="338" bestFit="1" customWidth="1"/>
    <col min="10269" max="10269" width="17.6640625" style="338" customWidth="1"/>
    <col min="10270" max="10270" width="14.83203125" style="338" bestFit="1" customWidth="1"/>
    <col min="10271" max="10481" width="8.83203125" style="338"/>
    <col min="10482" max="10482" width="24.1640625" style="338" customWidth="1"/>
    <col min="10483" max="10485" width="16.5" style="338" customWidth="1"/>
    <col min="10486" max="10486" width="18" style="338" customWidth="1"/>
    <col min="10487" max="10487" width="16.5" style="338" customWidth="1"/>
    <col min="10488" max="10488" width="4" style="338" customWidth="1"/>
    <col min="10489" max="10491" width="9.33203125" style="338" customWidth="1"/>
    <col min="10492" max="10492" width="22.5" style="338" customWidth="1"/>
    <col min="10493" max="10493" width="3.83203125" style="338" customWidth="1"/>
    <col min="10494" max="10494" width="16.5" style="338" customWidth="1"/>
    <col min="10495" max="10495" width="17.33203125" style="338" customWidth="1"/>
    <col min="10496" max="10499" width="16.5" style="338" customWidth="1"/>
    <col min="10500" max="10501" width="9.33203125" style="338" customWidth="1"/>
    <col min="10502" max="10502" width="18.83203125" style="338" customWidth="1"/>
    <col min="10503" max="10503" width="16.5" style="338" customWidth="1"/>
    <col min="10504" max="10504" width="17.83203125" style="338" customWidth="1"/>
    <col min="10505" max="10507" width="16.5" style="338" customWidth="1"/>
    <col min="10508" max="10508" width="17.83203125" style="338" bestFit="1" customWidth="1"/>
    <col min="10509" max="10509" width="16.5" style="338" customWidth="1"/>
    <col min="10510" max="10510" width="21" style="338" customWidth="1"/>
    <col min="10511" max="10511" width="16.5" style="338" customWidth="1"/>
    <col min="10512" max="10512" width="18.33203125" style="338" bestFit="1" customWidth="1"/>
    <col min="10513" max="10513" width="19.1640625" style="338" customWidth="1"/>
    <col min="10514" max="10515" width="18.33203125" style="338" customWidth="1"/>
    <col min="10516" max="10516" width="8.83203125" style="338"/>
    <col min="10517" max="10518" width="16.83203125" style="338" customWidth="1"/>
    <col min="10519" max="10520" width="11.6640625" style="338" customWidth="1"/>
    <col min="10521" max="10521" width="8.83203125" style="338"/>
    <col min="10522" max="10522" width="18.33203125" style="338" customWidth="1"/>
    <col min="10523" max="10523" width="16.5" style="338" customWidth="1"/>
    <col min="10524" max="10524" width="9.5" style="338" bestFit="1" customWidth="1"/>
    <col min="10525" max="10525" width="17.6640625" style="338" customWidth="1"/>
    <col min="10526" max="10526" width="14.83203125" style="338" bestFit="1" customWidth="1"/>
    <col min="10527" max="10737" width="8.83203125" style="338"/>
    <col min="10738" max="10738" width="24.1640625" style="338" customWidth="1"/>
    <col min="10739" max="10741" width="16.5" style="338" customWidth="1"/>
    <col min="10742" max="10742" width="18" style="338" customWidth="1"/>
    <col min="10743" max="10743" width="16.5" style="338" customWidth="1"/>
    <col min="10744" max="10744" width="4" style="338" customWidth="1"/>
    <col min="10745" max="10747" width="9.33203125" style="338" customWidth="1"/>
    <col min="10748" max="10748" width="22.5" style="338" customWidth="1"/>
    <col min="10749" max="10749" width="3.83203125" style="338" customWidth="1"/>
    <col min="10750" max="10750" width="16.5" style="338" customWidth="1"/>
    <col min="10751" max="10751" width="17.33203125" style="338" customWidth="1"/>
    <col min="10752" max="10755" width="16.5" style="338" customWidth="1"/>
    <col min="10756" max="10757" width="9.33203125" style="338" customWidth="1"/>
    <col min="10758" max="10758" width="18.83203125" style="338" customWidth="1"/>
    <col min="10759" max="10759" width="16.5" style="338" customWidth="1"/>
    <col min="10760" max="10760" width="17.83203125" style="338" customWidth="1"/>
    <col min="10761" max="10763" width="16.5" style="338" customWidth="1"/>
    <col min="10764" max="10764" width="17.83203125" style="338" bestFit="1" customWidth="1"/>
    <col min="10765" max="10765" width="16.5" style="338" customWidth="1"/>
    <col min="10766" max="10766" width="21" style="338" customWidth="1"/>
    <col min="10767" max="10767" width="16.5" style="338" customWidth="1"/>
    <col min="10768" max="10768" width="18.33203125" style="338" bestFit="1" customWidth="1"/>
    <col min="10769" max="10769" width="19.1640625" style="338" customWidth="1"/>
    <col min="10770" max="10771" width="18.33203125" style="338" customWidth="1"/>
    <col min="10772" max="10772" width="8.83203125" style="338"/>
    <col min="10773" max="10774" width="16.83203125" style="338" customWidth="1"/>
    <col min="10775" max="10776" width="11.6640625" style="338" customWidth="1"/>
    <col min="10777" max="10777" width="8.83203125" style="338"/>
    <col min="10778" max="10778" width="18.33203125" style="338" customWidth="1"/>
    <col min="10779" max="10779" width="16.5" style="338" customWidth="1"/>
    <col min="10780" max="10780" width="9.5" style="338" bestFit="1" customWidth="1"/>
    <col min="10781" max="10781" width="17.6640625" style="338" customWidth="1"/>
    <col min="10782" max="10782" width="14.83203125" style="338" bestFit="1" customWidth="1"/>
    <col min="10783" max="10993" width="8.83203125" style="338"/>
    <col min="10994" max="10994" width="24.1640625" style="338" customWidth="1"/>
    <col min="10995" max="10997" width="16.5" style="338" customWidth="1"/>
    <col min="10998" max="10998" width="18" style="338" customWidth="1"/>
    <col min="10999" max="10999" width="16.5" style="338" customWidth="1"/>
    <col min="11000" max="11000" width="4" style="338" customWidth="1"/>
    <col min="11001" max="11003" width="9.33203125" style="338" customWidth="1"/>
    <col min="11004" max="11004" width="22.5" style="338" customWidth="1"/>
    <col min="11005" max="11005" width="3.83203125" style="338" customWidth="1"/>
    <col min="11006" max="11006" width="16.5" style="338" customWidth="1"/>
    <col min="11007" max="11007" width="17.33203125" style="338" customWidth="1"/>
    <col min="11008" max="11011" width="16.5" style="338" customWidth="1"/>
    <col min="11012" max="11013" width="9.33203125" style="338" customWidth="1"/>
    <col min="11014" max="11014" width="18.83203125" style="338" customWidth="1"/>
    <col min="11015" max="11015" width="16.5" style="338" customWidth="1"/>
    <col min="11016" max="11016" width="17.83203125" style="338" customWidth="1"/>
    <col min="11017" max="11019" width="16.5" style="338" customWidth="1"/>
    <col min="11020" max="11020" width="17.83203125" style="338" bestFit="1" customWidth="1"/>
    <col min="11021" max="11021" width="16.5" style="338" customWidth="1"/>
    <col min="11022" max="11022" width="21" style="338" customWidth="1"/>
    <col min="11023" max="11023" width="16.5" style="338" customWidth="1"/>
    <col min="11024" max="11024" width="18.33203125" style="338" bestFit="1" customWidth="1"/>
    <col min="11025" max="11025" width="19.1640625" style="338" customWidth="1"/>
    <col min="11026" max="11027" width="18.33203125" style="338" customWidth="1"/>
    <col min="11028" max="11028" width="8.83203125" style="338"/>
    <col min="11029" max="11030" width="16.83203125" style="338" customWidth="1"/>
    <col min="11031" max="11032" width="11.6640625" style="338" customWidth="1"/>
    <col min="11033" max="11033" width="8.83203125" style="338"/>
    <col min="11034" max="11034" width="18.33203125" style="338" customWidth="1"/>
    <col min="11035" max="11035" width="16.5" style="338" customWidth="1"/>
    <col min="11036" max="11036" width="9.5" style="338" bestFit="1" customWidth="1"/>
    <col min="11037" max="11037" width="17.6640625" style="338" customWidth="1"/>
    <col min="11038" max="11038" width="14.83203125" style="338" bestFit="1" customWidth="1"/>
    <col min="11039" max="11249" width="8.83203125" style="338"/>
    <col min="11250" max="11250" width="24.1640625" style="338" customWidth="1"/>
    <col min="11251" max="11253" width="16.5" style="338" customWidth="1"/>
    <col min="11254" max="11254" width="18" style="338" customWidth="1"/>
    <col min="11255" max="11255" width="16.5" style="338" customWidth="1"/>
    <col min="11256" max="11256" width="4" style="338" customWidth="1"/>
    <col min="11257" max="11259" width="9.33203125" style="338" customWidth="1"/>
    <col min="11260" max="11260" width="22.5" style="338" customWidth="1"/>
    <col min="11261" max="11261" width="3.83203125" style="338" customWidth="1"/>
    <col min="11262" max="11262" width="16.5" style="338" customWidth="1"/>
    <col min="11263" max="11263" width="17.33203125" style="338" customWidth="1"/>
    <col min="11264" max="11267" width="16.5" style="338" customWidth="1"/>
    <col min="11268" max="11269" width="9.33203125" style="338" customWidth="1"/>
    <col min="11270" max="11270" width="18.83203125" style="338" customWidth="1"/>
    <col min="11271" max="11271" width="16.5" style="338" customWidth="1"/>
    <col min="11272" max="11272" width="17.83203125" style="338" customWidth="1"/>
    <col min="11273" max="11275" width="16.5" style="338" customWidth="1"/>
    <col min="11276" max="11276" width="17.83203125" style="338" bestFit="1" customWidth="1"/>
    <col min="11277" max="11277" width="16.5" style="338" customWidth="1"/>
    <col min="11278" max="11278" width="21" style="338" customWidth="1"/>
    <col min="11279" max="11279" width="16.5" style="338" customWidth="1"/>
    <col min="11280" max="11280" width="18.33203125" style="338" bestFit="1" customWidth="1"/>
    <col min="11281" max="11281" width="19.1640625" style="338" customWidth="1"/>
    <col min="11282" max="11283" width="18.33203125" style="338" customWidth="1"/>
    <col min="11284" max="11284" width="8.83203125" style="338"/>
    <col min="11285" max="11286" width="16.83203125" style="338" customWidth="1"/>
    <col min="11287" max="11288" width="11.6640625" style="338" customWidth="1"/>
    <col min="11289" max="11289" width="8.83203125" style="338"/>
    <col min="11290" max="11290" width="18.33203125" style="338" customWidth="1"/>
    <col min="11291" max="11291" width="16.5" style="338" customWidth="1"/>
    <col min="11292" max="11292" width="9.5" style="338" bestFit="1" customWidth="1"/>
    <col min="11293" max="11293" width="17.6640625" style="338" customWidth="1"/>
    <col min="11294" max="11294" width="14.83203125" style="338" bestFit="1" customWidth="1"/>
    <col min="11295" max="11505" width="8.83203125" style="338"/>
    <col min="11506" max="11506" width="24.1640625" style="338" customWidth="1"/>
    <col min="11507" max="11509" width="16.5" style="338" customWidth="1"/>
    <col min="11510" max="11510" width="18" style="338" customWidth="1"/>
    <col min="11511" max="11511" width="16.5" style="338" customWidth="1"/>
    <col min="11512" max="11512" width="4" style="338" customWidth="1"/>
    <col min="11513" max="11515" width="9.33203125" style="338" customWidth="1"/>
    <col min="11516" max="11516" width="22.5" style="338" customWidth="1"/>
    <col min="11517" max="11517" width="3.83203125" style="338" customWidth="1"/>
    <col min="11518" max="11518" width="16.5" style="338" customWidth="1"/>
    <col min="11519" max="11519" width="17.33203125" style="338" customWidth="1"/>
    <col min="11520" max="11523" width="16.5" style="338" customWidth="1"/>
    <col min="11524" max="11525" width="9.33203125" style="338" customWidth="1"/>
    <col min="11526" max="11526" width="18.83203125" style="338" customWidth="1"/>
    <col min="11527" max="11527" width="16.5" style="338" customWidth="1"/>
    <col min="11528" max="11528" width="17.83203125" style="338" customWidth="1"/>
    <col min="11529" max="11531" width="16.5" style="338" customWidth="1"/>
    <col min="11532" max="11532" width="17.83203125" style="338" bestFit="1" customWidth="1"/>
    <col min="11533" max="11533" width="16.5" style="338" customWidth="1"/>
    <col min="11534" max="11534" width="21" style="338" customWidth="1"/>
    <col min="11535" max="11535" width="16.5" style="338" customWidth="1"/>
    <col min="11536" max="11536" width="18.33203125" style="338" bestFit="1" customWidth="1"/>
    <col min="11537" max="11537" width="19.1640625" style="338" customWidth="1"/>
    <col min="11538" max="11539" width="18.33203125" style="338" customWidth="1"/>
    <col min="11540" max="11540" width="8.83203125" style="338"/>
    <col min="11541" max="11542" width="16.83203125" style="338" customWidth="1"/>
    <col min="11543" max="11544" width="11.6640625" style="338" customWidth="1"/>
    <col min="11545" max="11545" width="8.83203125" style="338"/>
    <col min="11546" max="11546" width="18.33203125" style="338" customWidth="1"/>
    <col min="11547" max="11547" width="16.5" style="338" customWidth="1"/>
    <col min="11548" max="11548" width="9.5" style="338" bestFit="1" customWidth="1"/>
    <col min="11549" max="11549" width="17.6640625" style="338" customWidth="1"/>
    <col min="11550" max="11550" width="14.83203125" style="338" bestFit="1" customWidth="1"/>
    <col min="11551" max="11761" width="8.83203125" style="338"/>
    <col min="11762" max="11762" width="24.1640625" style="338" customWidth="1"/>
    <col min="11763" max="11765" width="16.5" style="338" customWidth="1"/>
    <col min="11766" max="11766" width="18" style="338" customWidth="1"/>
    <col min="11767" max="11767" width="16.5" style="338" customWidth="1"/>
    <col min="11768" max="11768" width="4" style="338" customWidth="1"/>
    <col min="11769" max="11771" width="9.33203125" style="338" customWidth="1"/>
    <col min="11772" max="11772" width="22.5" style="338" customWidth="1"/>
    <col min="11773" max="11773" width="3.83203125" style="338" customWidth="1"/>
    <col min="11774" max="11774" width="16.5" style="338" customWidth="1"/>
    <col min="11775" max="11775" width="17.33203125" style="338" customWidth="1"/>
    <col min="11776" max="11779" width="16.5" style="338" customWidth="1"/>
    <col min="11780" max="11781" width="9.33203125" style="338" customWidth="1"/>
    <col min="11782" max="11782" width="18.83203125" style="338" customWidth="1"/>
    <col min="11783" max="11783" width="16.5" style="338" customWidth="1"/>
    <col min="11784" max="11784" width="17.83203125" style="338" customWidth="1"/>
    <col min="11785" max="11787" width="16.5" style="338" customWidth="1"/>
    <col min="11788" max="11788" width="17.83203125" style="338" bestFit="1" customWidth="1"/>
    <col min="11789" max="11789" width="16.5" style="338" customWidth="1"/>
    <col min="11790" max="11790" width="21" style="338" customWidth="1"/>
    <col min="11791" max="11791" width="16.5" style="338" customWidth="1"/>
    <col min="11792" max="11792" width="18.33203125" style="338" bestFit="1" customWidth="1"/>
    <col min="11793" max="11793" width="19.1640625" style="338" customWidth="1"/>
    <col min="11794" max="11795" width="18.33203125" style="338" customWidth="1"/>
    <col min="11796" max="11796" width="8.83203125" style="338"/>
    <col min="11797" max="11798" width="16.83203125" style="338" customWidth="1"/>
    <col min="11799" max="11800" width="11.6640625" style="338" customWidth="1"/>
    <col min="11801" max="11801" width="8.83203125" style="338"/>
    <col min="11802" max="11802" width="18.33203125" style="338" customWidth="1"/>
    <col min="11803" max="11803" width="16.5" style="338" customWidth="1"/>
    <col min="11804" max="11804" width="9.5" style="338" bestFit="1" customWidth="1"/>
    <col min="11805" max="11805" width="17.6640625" style="338" customWidth="1"/>
    <col min="11806" max="11806" width="14.83203125" style="338" bestFit="1" customWidth="1"/>
    <col min="11807" max="12017" width="8.83203125" style="338"/>
    <col min="12018" max="12018" width="24.1640625" style="338" customWidth="1"/>
    <col min="12019" max="12021" width="16.5" style="338" customWidth="1"/>
    <col min="12022" max="12022" width="18" style="338" customWidth="1"/>
    <col min="12023" max="12023" width="16.5" style="338" customWidth="1"/>
    <col min="12024" max="12024" width="4" style="338" customWidth="1"/>
    <col min="12025" max="12027" width="9.33203125" style="338" customWidth="1"/>
    <col min="12028" max="12028" width="22.5" style="338" customWidth="1"/>
    <col min="12029" max="12029" width="3.83203125" style="338" customWidth="1"/>
    <col min="12030" max="12030" width="16.5" style="338" customWidth="1"/>
    <col min="12031" max="12031" width="17.33203125" style="338" customWidth="1"/>
    <col min="12032" max="12035" width="16.5" style="338" customWidth="1"/>
    <col min="12036" max="12037" width="9.33203125" style="338" customWidth="1"/>
    <col min="12038" max="12038" width="18.83203125" style="338" customWidth="1"/>
    <col min="12039" max="12039" width="16.5" style="338" customWidth="1"/>
    <col min="12040" max="12040" width="17.83203125" style="338" customWidth="1"/>
    <col min="12041" max="12043" width="16.5" style="338" customWidth="1"/>
    <col min="12044" max="12044" width="17.83203125" style="338" bestFit="1" customWidth="1"/>
    <col min="12045" max="12045" width="16.5" style="338" customWidth="1"/>
    <col min="12046" max="12046" width="21" style="338" customWidth="1"/>
    <col min="12047" max="12047" width="16.5" style="338" customWidth="1"/>
    <col min="12048" max="12048" width="18.33203125" style="338" bestFit="1" customWidth="1"/>
    <col min="12049" max="12049" width="19.1640625" style="338" customWidth="1"/>
    <col min="12050" max="12051" width="18.33203125" style="338" customWidth="1"/>
    <col min="12052" max="12052" width="8.83203125" style="338"/>
    <col min="12053" max="12054" width="16.83203125" style="338" customWidth="1"/>
    <col min="12055" max="12056" width="11.6640625" style="338" customWidth="1"/>
    <col min="12057" max="12057" width="8.83203125" style="338"/>
    <col min="12058" max="12058" width="18.33203125" style="338" customWidth="1"/>
    <col min="12059" max="12059" width="16.5" style="338" customWidth="1"/>
    <col min="12060" max="12060" width="9.5" style="338" bestFit="1" customWidth="1"/>
    <col min="12061" max="12061" width="17.6640625" style="338" customWidth="1"/>
    <col min="12062" max="12062" width="14.83203125" style="338" bestFit="1" customWidth="1"/>
    <col min="12063" max="12273" width="8.83203125" style="338"/>
    <col min="12274" max="12274" width="24.1640625" style="338" customWidth="1"/>
    <col min="12275" max="12277" width="16.5" style="338" customWidth="1"/>
    <col min="12278" max="12278" width="18" style="338" customWidth="1"/>
    <col min="12279" max="12279" width="16.5" style="338" customWidth="1"/>
    <col min="12280" max="12280" width="4" style="338" customWidth="1"/>
    <col min="12281" max="12283" width="9.33203125" style="338" customWidth="1"/>
    <col min="12284" max="12284" width="22.5" style="338" customWidth="1"/>
    <col min="12285" max="12285" width="3.83203125" style="338" customWidth="1"/>
    <col min="12286" max="12286" width="16.5" style="338" customWidth="1"/>
    <col min="12287" max="12287" width="17.33203125" style="338" customWidth="1"/>
    <col min="12288" max="12291" width="16.5" style="338" customWidth="1"/>
    <col min="12292" max="12293" width="9.33203125" style="338" customWidth="1"/>
    <col min="12294" max="12294" width="18.83203125" style="338" customWidth="1"/>
    <col min="12295" max="12295" width="16.5" style="338" customWidth="1"/>
    <col min="12296" max="12296" width="17.83203125" style="338" customWidth="1"/>
    <col min="12297" max="12299" width="16.5" style="338" customWidth="1"/>
    <col min="12300" max="12300" width="17.83203125" style="338" bestFit="1" customWidth="1"/>
    <col min="12301" max="12301" width="16.5" style="338" customWidth="1"/>
    <col min="12302" max="12302" width="21" style="338" customWidth="1"/>
    <col min="12303" max="12303" width="16.5" style="338" customWidth="1"/>
    <col min="12304" max="12304" width="18.33203125" style="338" bestFit="1" customWidth="1"/>
    <col min="12305" max="12305" width="19.1640625" style="338" customWidth="1"/>
    <col min="12306" max="12307" width="18.33203125" style="338" customWidth="1"/>
    <col min="12308" max="12308" width="8.83203125" style="338"/>
    <col min="12309" max="12310" width="16.83203125" style="338" customWidth="1"/>
    <col min="12311" max="12312" width="11.6640625" style="338" customWidth="1"/>
    <col min="12313" max="12313" width="8.83203125" style="338"/>
    <col min="12314" max="12314" width="18.33203125" style="338" customWidth="1"/>
    <col min="12315" max="12315" width="16.5" style="338" customWidth="1"/>
    <col min="12316" max="12316" width="9.5" style="338" bestFit="1" customWidth="1"/>
    <col min="12317" max="12317" width="17.6640625" style="338" customWidth="1"/>
    <col min="12318" max="12318" width="14.83203125" style="338" bestFit="1" customWidth="1"/>
    <col min="12319" max="12529" width="8.83203125" style="338"/>
    <col min="12530" max="12530" width="24.1640625" style="338" customWidth="1"/>
    <col min="12531" max="12533" width="16.5" style="338" customWidth="1"/>
    <col min="12534" max="12534" width="18" style="338" customWidth="1"/>
    <col min="12535" max="12535" width="16.5" style="338" customWidth="1"/>
    <col min="12536" max="12536" width="4" style="338" customWidth="1"/>
    <col min="12537" max="12539" width="9.33203125" style="338" customWidth="1"/>
    <col min="12540" max="12540" width="22.5" style="338" customWidth="1"/>
    <col min="12541" max="12541" width="3.83203125" style="338" customWidth="1"/>
    <col min="12542" max="12542" width="16.5" style="338" customWidth="1"/>
    <col min="12543" max="12543" width="17.33203125" style="338" customWidth="1"/>
    <col min="12544" max="12547" width="16.5" style="338" customWidth="1"/>
    <col min="12548" max="12549" width="9.33203125" style="338" customWidth="1"/>
    <col min="12550" max="12550" width="18.83203125" style="338" customWidth="1"/>
    <col min="12551" max="12551" width="16.5" style="338" customWidth="1"/>
    <col min="12552" max="12552" width="17.83203125" style="338" customWidth="1"/>
    <col min="12553" max="12555" width="16.5" style="338" customWidth="1"/>
    <col min="12556" max="12556" width="17.83203125" style="338" bestFit="1" customWidth="1"/>
    <col min="12557" max="12557" width="16.5" style="338" customWidth="1"/>
    <col min="12558" max="12558" width="21" style="338" customWidth="1"/>
    <col min="12559" max="12559" width="16.5" style="338" customWidth="1"/>
    <col min="12560" max="12560" width="18.33203125" style="338" bestFit="1" customWidth="1"/>
    <col min="12561" max="12561" width="19.1640625" style="338" customWidth="1"/>
    <col min="12562" max="12563" width="18.33203125" style="338" customWidth="1"/>
    <col min="12564" max="12564" width="8.83203125" style="338"/>
    <col min="12565" max="12566" width="16.83203125" style="338" customWidth="1"/>
    <col min="12567" max="12568" width="11.6640625" style="338" customWidth="1"/>
    <col min="12569" max="12569" width="8.83203125" style="338"/>
    <col min="12570" max="12570" width="18.33203125" style="338" customWidth="1"/>
    <col min="12571" max="12571" width="16.5" style="338" customWidth="1"/>
    <col min="12572" max="12572" width="9.5" style="338" bestFit="1" customWidth="1"/>
    <col min="12573" max="12573" width="17.6640625" style="338" customWidth="1"/>
    <col min="12574" max="12574" width="14.83203125" style="338" bestFit="1" customWidth="1"/>
    <col min="12575" max="12785" width="8.83203125" style="338"/>
    <col min="12786" max="12786" width="24.1640625" style="338" customWidth="1"/>
    <col min="12787" max="12789" width="16.5" style="338" customWidth="1"/>
    <col min="12790" max="12790" width="18" style="338" customWidth="1"/>
    <col min="12791" max="12791" width="16.5" style="338" customWidth="1"/>
    <col min="12792" max="12792" width="4" style="338" customWidth="1"/>
    <col min="12793" max="12795" width="9.33203125" style="338" customWidth="1"/>
    <col min="12796" max="12796" width="22.5" style="338" customWidth="1"/>
    <col min="12797" max="12797" width="3.83203125" style="338" customWidth="1"/>
    <col min="12798" max="12798" width="16.5" style="338" customWidth="1"/>
    <col min="12799" max="12799" width="17.33203125" style="338" customWidth="1"/>
    <col min="12800" max="12803" width="16.5" style="338" customWidth="1"/>
    <col min="12804" max="12805" width="9.33203125" style="338" customWidth="1"/>
    <col min="12806" max="12806" width="18.83203125" style="338" customWidth="1"/>
    <col min="12807" max="12807" width="16.5" style="338" customWidth="1"/>
    <col min="12808" max="12808" width="17.83203125" style="338" customWidth="1"/>
    <col min="12809" max="12811" width="16.5" style="338" customWidth="1"/>
    <col min="12812" max="12812" width="17.83203125" style="338" bestFit="1" customWidth="1"/>
    <col min="12813" max="12813" width="16.5" style="338" customWidth="1"/>
    <col min="12814" max="12814" width="21" style="338" customWidth="1"/>
    <col min="12815" max="12815" width="16.5" style="338" customWidth="1"/>
    <col min="12816" max="12816" width="18.33203125" style="338" bestFit="1" customWidth="1"/>
    <col min="12817" max="12817" width="19.1640625" style="338" customWidth="1"/>
    <col min="12818" max="12819" width="18.33203125" style="338" customWidth="1"/>
    <col min="12820" max="12820" width="8.83203125" style="338"/>
    <col min="12821" max="12822" width="16.83203125" style="338" customWidth="1"/>
    <col min="12823" max="12824" width="11.6640625" style="338" customWidth="1"/>
    <col min="12825" max="12825" width="8.83203125" style="338"/>
    <col min="12826" max="12826" width="18.33203125" style="338" customWidth="1"/>
    <col min="12827" max="12827" width="16.5" style="338" customWidth="1"/>
    <col min="12828" max="12828" width="9.5" style="338" bestFit="1" customWidth="1"/>
    <col min="12829" max="12829" width="17.6640625" style="338" customWidth="1"/>
    <col min="12830" max="12830" width="14.83203125" style="338" bestFit="1" customWidth="1"/>
    <col min="12831" max="13041" width="8.83203125" style="338"/>
    <col min="13042" max="13042" width="24.1640625" style="338" customWidth="1"/>
    <col min="13043" max="13045" width="16.5" style="338" customWidth="1"/>
    <col min="13046" max="13046" width="18" style="338" customWidth="1"/>
    <col min="13047" max="13047" width="16.5" style="338" customWidth="1"/>
    <col min="13048" max="13048" width="4" style="338" customWidth="1"/>
    <col min="13049" max="13051" width="9.33203125" style="338" customWidth="1"/>
    <col min="13052" max="13052" width="22.5" style="338" customWidth="1"/>
    <col min="13053" max="13053" width="3.83203125" style="338" customWidth="1"/>
    <col min="13054" max="13054" width="16.5" style="338" customWidth="1"/>
    <col min="13055" max="13055" width="17.33203125" style="338" customWidth="1"/>
    <col min="13056" max="13059" width="16.5" style="338" customWidth="1"/>
    <col min="13060" max="13061" width="9.33203125" style="338" customWidth="1"/>
    <col min="13062" max="13062" width="18.83203125" style="338" customWidth="1"/>
    <col min="13063" max="13063" width="16.5" style="338" customWidth="1"/>
    <col min="13064" max="13064" width="17.83203125" style="338" customWidth="1"/>
    <col min="13065" max="13067" width="16.5" style="338" customWidth="1"/>
    <col min="13068" max="13068" width="17.83203125" style="338" bestFit="1" customWidth="1"/>
    <col min="13069" max="13069" width="16.5" style="338" customWidth="1"/>
    <col min="13070" max="13070" width="21" style="338" customWidth="1"/>
    <col min="13071" max="13071" width="16.5" style="338" customWidth="1"/>
    <col min="13072" max="13072" width="18.33203125" style="338" bestFit="1" customWidth="1"/>
    <col min="13073" max="13073" width="19.1640625" style="338" customWidth="1"/>
    <col min="13074" max="13075" width="18.33203125" style="338" customWidth="1"/>
    <col min="13076" max="13076" width="8.83203125" style="338"/>
    <col min="13077" max="13078" width="16.83203125" style="338" customWidth="1"/>
    <col min="13079" max="13080" width="11.6640625" style="338" customWidth="1"/>
    <col min="13081" max="13081" width="8.83203125" style="338"/>
    <col min="13082" max="13082" width="18.33203125" style="338" customWidth="1"/>
    <col min="13083" max="13083" width="16.5" style="338" customWidth="1"/>
    <col min="13084" max="13084" width="9.5" style="338" bestFit="1" customWidth="1"/>
    <col min="13085" max="13085" width="17.6640625" style="338" customWidth="1"/>
    <col min="13086" max="13086" width="14.83203125" style="338" bestFit="1" customWidth="1"/>
    <col min="13087" max="13297" width="8.83203125" style="338"/>
    <col min="13298" max="13298" width="24.1640625" style="338" customWidth="1"/>
    <col min="13299" max="13301" width="16.5" style="338" customWidth="1"/>
    <col min="13302" max="13302" width="18" style="338" customWidth="1"/>
    <col min="13303" max="13303" width="16.5" style="338" customWidth="1"/>
    <col min="13304" max="13304" width="4" style="338" customWidth="1"/>
    <col min="13305" max="13307" width="9.33203125" style="338" customWidth="1"/>
    <col min="13308" max="13308" width="22.5" style="338" customWidth="1"/>
    <col min="13309" max="13309" width="3.83203125" style="338" customWidth="1"/>
    <col min="13310" max="13310" width="16.5" style="338" customWidth="1"/>
    <col min="13311" max="13311" width="17.33203125" style="338" customWidth="1"/>
    <col min="13312" max="13315" width="16.5" style="338" customWidth="1"/>
    <col min="13316" max="13317" width="9.33203125" style="338" customWidth="1"/>
    <col min="13318" max="13318" width="18.83203125" style="338" customWidth="1"/>
    <col min="13319" max="13319" width="16.5" style="338" customWidth="1"/>
    <col min="13320" max="13320" width="17.83203125" style="338" customWidth="1"/>
    <col min="13321" max="13323" width="16.5" style="338" customWidth="1"/>
    <col min="13324" max="13324" width="17.83203125" style="338" bestFit="1" customWidth="1"/>
    <col min="13325" max="13325" width="16.5" style="338" customWidth="1"/>
    <col min="13326" max="13326" width="21" style="338" customWidth="1"/>
    <col min="13327" max="13327" width="16.5" style="338" customWidth="1"/>
    <col min="13328" max="13328" width="18.33203125" style="338" bestFit="1" customWidth="1"/>
    <col min="13329" max="13329" width="19.1640625" style="338" customWidth="1"/>
    <col min="13330" max="13331" width="18.33203125" style="338" customWidth="1"/>
    <col min="13332" max="13332" width="8.83203125" style="338"/>
    <col min="13333" max="13334" width="16.83203125" style="338" customWidth="1"/>
    <col min="13335" max="13336" width="11.6640625" style="338" customWidth="1"/>
    <col min="13337" max="13337" width="8.83203125" style="338"/>
    <col min="13338" max="13338" width="18.33203125" style="338" customWidth="1"/>
    <col min="13339" max="13339" width="16.5" style="338" customWidth="1"/>
    <col min="13340" max="13340" width="9.5" style="338" bestFit="1" customWidth="1"/>
    <col min="13341" max="13341" width="17.6640625" style="338" customWidth="1"/>
    <col min="13342" max="13342" width="14.83203125" style="338" bestFit="1" customWidth="1"/>
    <col min="13343" max="13553" width="8.83203125" style="338"/>
    <col min="13554" max="13554" width="24.1640625" style="338" customWidth="1"/>
    <col min="13555" max="13557" width="16.5" style="338" customWidth="1"/>
    <col min="13558" max="13558" width="18" style="338" customWidth="1"/>
    <col min="13559" max="13559" width="16.5" style="338" customWidth="1"/>
    <col min="13560" max="13560" width="4" style="338" customWidth="1"/>
    <col min="13561" max="13563" width="9.33203125" style="338" customWidth="1"/>
    <col min="13564" max="13564" width="22.5" style="338" customWidth="1"/>
    <col min="13565" max="13565" width="3.83203125" style="338" customWidth="1"/>
    <col min="13566" max="13566" width="16.5" style="338" customWidth="1"/>
    <col min="13567" max="13567" width="17.33203125" style="338" customWidth="1"/>
    <col min="13568" max="13571" width="16.5" style="338" customWidth="1"/>
    <col min="13572" max="13573" width="9.33203125" style="338" customWidth="1"/>
    <col min="13574" max="13574" width="18.83203125" style="338" customWidth="1"/>
    <col min="13575" max="13575" width="16.5" style="338" customWidth="1"/>
    <col min="13576" max="13576" width="17.83203125" style="338" customWidth="1"/>
    <col min="13577" max="13579" width="16.5" style="338" customWidth="1"/>
    <col min="13580" max="13580" width="17.83203125" style="338" bestFit="1" customWidth="1"/>
    <col min="13581" max="13581" width="16.5" style="338" customWidth="1"/>
    <col min="13582" max="13582" width="21" style="338" customWidth="1"/>
    <col min="13583" max="13583" width="16.5" style="338" customWidth="1"/>
    <col min="13584" max="13584" width="18.33203125" style="338" bestFit="1" customWidth="1"/>
    <col min="13585" max="13585" width="19.1640625" style="338" customWidth="1"/>
    <col min="13586" max="13587" width="18.33203125" style="338" customWidth="1"/>
    <col min="13588" max="13588" width="8.83203125" style="338"/>
    <col min="13589" max="13590" width="16.83203125" style="338" customWidth="1"/>
    <col min="13591" max="13592" width="11.6640625" style="338" customWidth="1"/>
    <col min="13593" max="13593" width="8.83203125" style="338"/>
    <col min="13594" max="13594" width="18.33203125" style="338" customWidth="1"/>
    <col min="13595" max="13595" width="16.5" style="338" customWidth="1"/>
    <col min="13596" max="13596" width="9.5" style="338" bestFit="1" customWidth="1"/>
    <col min="13597" max="13597" width="17.6640625" style="338" customWidth="1"/>
    <col min="13598" max="13598" width="14.83203125" style="338" bestFit="1" customWidth="1"/>
    <col min="13599" max="13809" width="8.83203125" style="338"/>
    <col min="13810" max="13810" width="24.1640625" style="338" customWidth="1"/>
    <col min="13811" max="13813" width="16.5" style="338" customWidth="1"/>
    <col min="13814" max="13814" width="18" style="338" customWidth="1"/>
    <col min="13815" max="13815" width="16.5" style="338" customWidth="1"/>
    <col min="13816" max="13816" width="4" style="338" customWidth="1"/>
    <col min="13817" max="13819" width="9.33203125" style="338" customWidth="1"/>
    <col min="13820" max="13820" width="22.5" style="338" customWidth="1"/>
    <col min="13821" max="13821" width="3.83203125" style="338" customWidth="1"/>
    <col min="13822" max="13822" width="16.5" style="338" customWidth="1"/>
    <col min="13823" max="13823" width="17.33203125" style="338" customWidth="1"/>
    <col min="13824" max="13827" width="16.5" style="338" customWidth="1"/>
    <col min="13828" max="13829" width="9.33203125" style="338" customWidth="1"/>
    <col min="13830" max="13830" width="18.83203125" style="338" customWidth="1"/>
    <col min="13831" max="13831" width="16.5" style="338" customWidth="1"/>
    <col min="13832" max="13832" width="17.83203125" style="338" customWidth="1"/>
    <col min="13833" max="13835" width="16.5" style="338" customWidth="1"/>
    <col min="13836" max="13836" width="17.83203125" style="338" bestFit="1" customWidth="1"/>
    <col min="13837" max="13837" width="16.5" style="338" customWidth="1"/>
    <col min="13838" max="13838" width="21" style="338" customWidth="1"/>
    <col min="13839" max="13839" width="16.5" style="338" customWidth="1"/>
    <col min="13840" max="13840" width="18.33203125" style="338" bestFit="1" customWidth="1"/>
    <col min="13841" max="13841" width="19.1640625" style="338" customWidth="1"/>
    <col min="13842" max="13843" width="18.33203125" style="338" customWidth="1"/>
    <col min="13844" max="13844" width="8.83203125" style="338"/>
    <col min="13845" max="13846" width="16.83203125" style="338" customWidth="1"/>
    <col min="13847" max="13848" width="11.6640625" style="338" customWidth="1"/>
    <col min="13849" max="13849" width="8.83203125" style="338"/>
    <col min="13850" max="13850" width="18.33203125" style="338" customWidth="1"/>
    <col min="13851" max="13851" width="16.5" style="338" customWidth="1"/>
    <col min="13852" max="13852" width="9.5" style="338" bestFit="1" customWidth="1"/>
    <col min="13853" max="13853" width="17.6640625" style="338" customWidth="1"/>
    <col min="13854" max="13854" width="14.83203125" style="338" bestFit="1" customWidth="1"/>
    <col min="13855" max="14065" width="8.83203125" style="338"/>
    <col min="14066" max="14066" width="24.1640625" style="338" customWidth="1"/>
    <col min="14067" max="14069" width="16.5" style="338" customWidth="1"/>
    <col min="14070" max="14070" width="18" style="338" customWidth="1"/>
    <col min="14071" max="14071" width="16.5" style="338" customWidth="1"/>
    <col min="14072" max="14072" width="4" style="338" customWidth="1"/>
    <col min="14073" max="14075" width="9.33203125" style="338" customWidth="1"/>
    <col min="14076" max="14076" width="22.5" style="338" customWidth="1"/>
    <col min="14077" max="14077" width="3.83203125" style="338" customWidth="1"/>
    <col min="14078" max="14078" width="16.5" style="338" customWidth="1"/>
    <col min="14079" max="14079" width="17.33203125" style="338" customWidth="1"/>
    <col min="14080" max="14083" width="16.5" style="338" customWidth="1"/>
    <col min="14084" max="14085" width="9.33203125" style="338" customWidth="1"/>
    <col min="14086" max="14086" width="18.83203125" style="338" customWidth="1"/>
    <col min="14087" max="14087" width="16.5" style="338" customWidth="1"/>
    <col min="14088" max="14088" width="17.83203125" style="338" customWidth="1"/>
    <col min="14089" max="14091" width="16.5" style="338" customWidth="1"/>
    <col min="14092" max="14092" width="17.83203125" style="338" bestFit="1" customWidth="1"/>
    <col min="14093" max="14093" width="16.5" style="338" customWidth="1"/>
    <col min="14094" max="14094" width="21" style="338" customWidth="1"/>
    <col min="14095" max="14095" width="16.5" style="338" customWidth="1"/>
    <col min="14096" max="14096" width="18.33203125" style="338" bestFit="1" customWidth="1"/>
    <col min="14097" max="14097" width="19.1640625" style="338" customWidth="1"/>
    <col min="14098" max="14099" width="18.33203125" style="338" customWidth="1"/>
    <col min="14100" max="14100" width="8.83203125" style="338"/>
    <col min="14101" max="14102" width="16.83203125" style="338" customWidth="1"/>
    <col min="14103" max="14104" width="11.6640625" style="338" customWidth="1"/>
    <col min="14105" max="14105" width="8.83203125" style="338"/>
    <col min="14106" max="14106" width="18.33203125" style="338" customWidth="1"/>
    <col min="14107" max="14107" width="16.5" style="338" customWidth="1"/>
    <col min="14108" max="14108" width="9.5" style="338" bestFit="1" customWidth="1"/>
    <col min="14109" max="14109" width="17.6640625" style="338" customWidth="1"/>
    <col min="14110" max="14110" width="14.83203125" style="338" bestFit="1" customWidth="1"/>
    <col min="14111" max="14321" width="8.83203125" style="338"/>
    <col min="14322" max="14322" width="24.1640625" style="338" customWidth="1"/>
    <col min="14323" max="14325" width="16.5" style="338" customWidth="1"/>
    <col min="14326" max="14326" width="18" style="338" customWidth="1"/>
    <col min="14327" max="14327" width="16.5" style="338" customWidth="1"/>
    <col min="14328" max="14328" width="4" style="338" customWidth="1"/>
    <col min="14329" max="14331" width="9.33203125" style="338" customWidth="1"/>
    <col min="14332" max="14332" width="22.5" style="338" customWidth="1"/>
    <col min="14333" max="14333" width="3.83203125" style="338" customWidth="1"/>
    <col min="14334" max="14334" width="16.5" style="338" customWidth="1"/>
    <col min="14335" max="14335" width="17.33203125" style="338" customWidth="1"/>
    <col min="14336" max="14339" width="16.5" style="338" customWidth="1"/>
    <col min="14340" max="14341" width="9.33203125" style="338" customWidth="1"/>
    <col min="14342" max="14342" width="18.83203125" style="338" customWidth="1"/>
    <col min="14343" max="14343" width="16.5" style="338" customWidth="1"/>
    <col min="14344" max="14344" width="17.83203125" style="338" customWidth="1"/>
    <col min="14345" max="14347" width="16.5" style="338" customWidth="1"/>
    <col min="14348" max="14348" width="17.83203125" style="338" bestFit="1" customWidth="1"/>
    <col min="14349" max="14349" width="16.5" style="338" customWidth="1"/>
    <col min="14350" max="14350" width="21" style="338" customWidth="1"/>
    <col min="14351" max="14351" width="16.5" style="338" customWidth="1"/>
    <col min="14352" max="14352" width="18.33203125" style="338" bestFit="1" customWidth="1"/>
    <col min="14353" max="14353" width="19.1640625" style="338" customWidth="1"/>
    <col min="14354" max="14355" width="18.33203125" style="338" customWidth="1"/>
    <col min="14356" max="14356" width="8.83203125" style="338"/>
    <col min="14357" max="14358" width="16.83203125" style="338" customWidth="1"/>
    <col min="14359" max="14360" width="11.6640625" style="338" customWidth="1"/>
    <col min="14361" max="14361" width="8.83203125" style="338"/>
    <col min="14362" max="14362" width="18.33203125" style="338" customWidth="1"/>
    <col min="14363" max="14363" width="16.5" style="338" customWidth="1"/>
    <col min="14364" max="14364" width="9.5" style="338" bestFit="1" customWidth="1"/>
    <col min="14365" max="14365" width="17.6640625" style="338" customWidth="1"/>
    <col min="14366" max="14366" width="14.83203125" style="338" bestFit="1" customWidth="1"/>
    <col min="14367" max="14577" width="8.83203125" style="338"/>
    <col min="14578" max="14578" width="24.1640625" style="338" customWidth="1"/>
    <col min="14579" max="14581" width="16.5" style="338" customWidth="1"/>
    <col min="14582" max="14582" width="18" style="338" customWidth="1"/>
    <col min="14583" max="14583" width="16.5" style="338" customWidth="1"/>
    <col min="14584" max="14584" width="4" style="338" customWidth="1"/>
    <col min="14585" max="14587" width="9.33203125" style="338" customWidth="1"/>
    <col min="14588" max="14588" width="22.5" style="338" customWidth="1"/>
    <col min="14589" max="14589" width="3.83203125" style="338" customWidth="1"/>
    <col min="14590" max="14590" width="16.5" style="338" customWidth="1"/>
    <col min="14591" max="14591" width="17.33203125" style="338" customWidth="1"/>
    <col min="14592" max="14595" width="16.5" style="338" customWidth="1"/>
    <col min="14596" max="14597" width="9.33203125" style="338" customWidth="1"/>
    <col min="14598" max="14598" width="18.83203125" style="338" customWidth="1"/>
    <col min="14599" max="14599" width="16.5" style="338" customWidth="1"/>
    <col min="14600" max="14600" width="17.83203125" style="338" customWidth="1"/>
    <col min="14601" max="14603" width="16.5" style="338" customWidth="1"/>
    <col min="14604" max="14604" width="17.83203125" style="338" bestFit="1" customWidth="1"/>
    <col min="14605" max="14605" width="16.5" style="338" customWidth="1"/>
    <col min="14606" max="14606" width="21" style="338" customWidth="1"/>
    <col min="14607" max="14607" width="16.5" style="338" customWidth="1"/>
    <col min="14608" max="14608" width="18.33203125" style="338" bestFit="1" customWidth="1"/>
    <col min="14609" max="14609" width="19.1640625" style="338" customWidth="1"/>
    <col min="14610" max="14611" width="18.33203125" style="338" customWidth="1"/>
    <col min="14612" max="14612" width="8.83203125" style="338"/>
    <col min="14613" max="14614" width="16.83203125" style="338" customWidth="1"/>
    <col min="14615" max="14616" width="11.6640625" style="338" customWidth="1"/>
    <col min="14617" max="14617" width="8.83203125" style="338"/>
    <col min="14618" max="14618" width="18.33203125" style="338" customWidth="1"/>
    <col min="14619" max="14619" width="16.5" style="338" customWidth="1"/>
    <col min="14620" max="14620" width="9.5" style="338" bestFit="1" customWidth="1"/>
    <col min="14621" max="14621" width="17.6640625" style="338" customWidth="1"/>
    <col min="14622" max="14622" width="14.83203125" style="338" bestFit="1" customWidth="1"/>
    <col min="14623" max="14833" width="8.83203125" style="338"/>
    <col min="14834" max="14834" width="24.1640625" style="338" customWidth="1"/>
    <col min="14835" max="14837" width="16.5" style="338" customWidth="1"/>
    <col min="14838" max="14838" width="18" style="338" customWidth="1"/>
    <col min="14839" max="14839" width="16.5" style="338" customWidth="1"/>
    <col min="14840" max="14840" width="4" style="338" customWidth="1"/>
    <col min="14841" max="14843" width="9.33203125" style="338" customWidth="1"/>
    <col min="14844" max="14844" width="22.5" style="338" customWidth="1"/>
    <col min="14845" max="14845" width="3.83203125" style="338" customWidth="1"/>
    <col min="14846" max="14846" width="16.5" style="338" customWidth="1"/>
    <col min="14847" max="14847" width="17.33203125" style="338" customWidth="1"/>
    <col min="14848" max="14851" width="16.5" style="338" customWidth="1"/>
    <col min="14852" max="14853" width="9.33203125" style="338" customWidth="1"/>
    <col min="14854" max="14854" width="18.83203125" style="338" customWidth="1"/>
    <col min="14855" max="14855" width="16.5" style="338" customWidth="1"/>
    <col min="14856" max="14856" width="17.83203125" style="338" customWidth="1"/>
    <col min="14857" max="14859" width="16.5" style="338" customWidth="1"/>
    <col min="14860" max="14860" width="17.83203125" style="338" bestFit="1" customWidth="1"/>
    <col min="14861" max="14861" width="16.5" style="338" customWidth="1"/>
    <col min="14862" max="14862" width="21" style="338" customWidth="1"/>
    <col min="14863" max="14863" width="16.5" style="338" customWidth="1"/>
    <col min="14864" max="14864" width="18.33203125" style="338" bestFit="1" customWidth="1"/>
    <col min="14865" max="14865" width="19.1640625" style="338" customWidth="1"/>
    <col min="14866" max="14867" width="18.33203125" style="338" customWidth="1"/>
    <col min="14868" max="14868" width="8.83203125" style="338"/>
    <col min="14869" max="14870" width="16.83203125" style="338" customWidth="1"/>
    <col min="14871" max="14872" width="11.6640625" style="338" customWidth="1"/>
    <col min="14873" max="14873" width="8.83203125" style="338"/>
    <col min="14874" max="14874" width="18.33203125" style="338" customWidth="1"/>
    <col min="14875" max="14875" width="16.5" style="338" customWidth="1"/>
    <col min="14876" max="14876" width="9.5" style="338" bestFit="1" customWidth="1"/>
    <col min="14877" max="14877" width="17.6640625" style="338" customWidth="1"/>
    <col min="14878" max="14878" width="14.83203125" style="338" bestFit="1" customWidth="1"/>
    <col min="14879" max="15089" width="8.83203125" style="338"/>
    <col min="15090" max="15090" width="24.1640625" style="338" customWidth="1"/>
    <col min="15091" max="15093" width="16.5" style="338" customWidth="1"/>
    <col min="15094" max="15094" width="18" style="338" customWidth="1"/>
    <col min="15095" max="15095" width="16.5" style="338" customWidth="1"/>
    <col min="15096" max="15096" width="4" style="338" customWidth="1"/>
    <col min="15097" max="15099" width="9.33203125" style="338" customWidth="1"/>
    <col min="15100" max="15100" width="22.5" style="338" customWidth="1"/>
    <col min="15101" max="15101" width="3.83203125" style="338" customWidth="1"/>
    <col min="15102" max="15102" width="16.5" style="338" customWidth="1"/>
    <col min="15103" max="15103" width="17.33203125" style="338" customWidth="1"/>
    <col min="15104" max="15107" width="16.5" style="338" customWidth="1"/>
    <col min="15108" max="15109" width="9.33203125" style="338" customWidth="1"/>
    <col min="15110" max="15110" width="18.83203125" style="338" customWidth="1"/>
    <col min="15111" max="15111" width="16.5" style="338" customWidth="1"/>
    <col min="15112" max="15112" width="17.83203125" style="338" customWidth="1"/>
    <col min="15113" max="15115" width="16.5" style="338" customWidth="1"/>
    <col min="15116" max="15116" width="17.83203125" style="338" bestFit="1" customWidth="1"/>
    <col min="15117" max="15117" width="16.5" style="338" customWidth="1"/>
    <col min="15118" max="15118" width="21" style="338" customWidth="1"/>
    <col min="15119" max="15119" width="16.5" style="338" customWidth="1"/>
    <col min="15120" max="15120" width="18.33203125" style="338" bestFit="1" customWidth="1"/>
    <col min="15121" max="15121" width="19.1640625" style="338" customWidth="1"/>
    <col min="15122" max="15123" width="18.33203125" style="338" customWidth="1"/>
    <col min="15124" max="15124" width="8.83203125" style="338"/>
    <col min="15125" max="15126" width="16.83203125" style="338" customWidth="1"/>
    <col min="15127" max="15128" width="11.6640625" style="338" customWidth="1"/>
    <col min="15129" max="15129" width="8.83203125" style="338"/>
    <col min="15130" max="15130" width="18.33203125" style="338" customWidth="1"/>
    <col min="15131" max="15131" width="16.5" style="338" customWidth="1"/>
    <col min="15132" max="15132" width="9.5" style="338" bestFit="1" customWidth="1"/>
    <col min="15133" max="15133" width="17.6640625" style="338" customWidth="1"/>
    <col min="15134" max="15134" width="14.83203125" style="338" bestFit="1" customWidth="1"/>
    <col min="15135" max="15345" width="8.83203125" style="338"/>
    <col min="15346" max="15346" width="24.1640625" style="338" customWidth="1"/>
    <col min="15347" max="15349" width="16.5" style="338" customWidth="1"/>
    <col min="15350" max="15350" width="18" style="338" customWidth="1"/>
    <col min="15351" max="15351" width="16.5" style="338" customWidth="1"/>
    <col min="15352" max="15352" width="4" style="338" customWidth="1"/>
    <col min="15353" max="15355" width="9.33203125" style="338" customWidth="1"/>
    <col min="15356" max="15356" width="22.5" style="338" customWidth="1"/>
    <col min="15357" max="15357" width="3.83203125" style="338" customWidth="1"/>
    <col min="15358" max="15358" width="16.5" style="338" customWidth="1"/>
    <col min="15359" max="15359" width="17.33203125" style="338" customWidth="1"/>
    <col min="15360" max="15363" width="16.5" style="338" customWidth="1"/>
    <col min="15364" max="15365" width="9.33203125" style="338" customWidth="1"/>
    <col min="15366" max="15366" width="18.83203125" style="338" customWidth="1"/>
    <col min="15367" max="15367" width="16.5" style="338" customWidth="1"/>
    <col min="15368" max="15368" width="17.83203125" style="338" customWidth="1"/>
    <col min="15369" max="15371" width="16.5" style="338" customWidth="1"/>
    <col min="15372" max="15372" width="17.83203125" style="338" bestFit="1" customWidth="1"/>
    <col min="15373" max="15373" width="16.5" style="338" customWidth="1"/>
    <col min="15374" max="15374" width="21" style="338" customWidth="1"/>
    <col min="15375" max="15375" width="16.5" style="338" customWidth="1"/>
    <col min="15376" max="15376" width="18.33203125" style="338" bestFit="1" customWidth="1"/>
    <col min="15377" max="15377" width="19.1640625" style="338" customWidth="1"/>
    <col min="15378" max="15379" width="18.33203125" style="338" customWidth="1"/>
    <col min="15380" max="15380" width="8.83203125" style="338"/>
    <col min="15381" max="15382" width="16.83203125" style="338" customWidth="1"/>
    <col min="15383" max="15384" width="11.6640625" style="338" customWidth="1"/>
    <col min="15385" max="15385" width="8.83203125" style="338"/>
    <col min="15386" max="15386" width="18.33203125" style="338" customWidth="1"/>
    <col min="15387" max="15387" width="16.5" style="338" customWidth="1"/>
    <col min="15388" max="15388" width="9.5" style="338" bestFit="1" customWidth="1"/>
    <col min="15389" max="15389" width="17.6640625" style="338" customWidth="1"/>
    <col min="15390" max="15390" width="14.83203125" style="338" bestFit="1" customWidth="1"/>
    <col min="15391" max="15601" width="8.83203125" style="338"/>
    <col min="15602" max="15602" width="24.1640625" style="338" customWidth="1"/>
    <col min="15603" max="15605" width="16.5" style="338" customWidth="1"/>
    <col min="15606" max="15606" width="18" style="338" customWidth="1"/>
    <col min="15607" max="15607" width="16.5" style="338" customWidth="1"/>
    <col min="15608" max="15608" width="4" style="338" customWidth="1"/>
    <col min="15609" max="15611" width="9.33203125" style="338" customWidth="1"/>
    <col min="15612" max="15612" width="22.5" style="338" customWidth="1"/>
    <col min="15613" max="15613" width="3.83203125" style="338" customWidth="1"/>
    <col min="15614" max="15614" width="16.5" style="338" customWidth="1"/>
    <col min="15615" max="15615" width="17.33203125" style="338" customWidth="1"/>
    <col min="15616" max="15619" width="16.5" style="338" customWidth="1"/>
    <col min="15620" max="15621" width="9.33203125" style="338" customWidth="1"/>
    <col min="15622" max="15622" width="18.83203125" style="338" customWidth="1"/>
    <col min="15623" max="15623" width="16.5" style="338" customWidth="1"/>
    <col min="15624" max="15624" width="17.83203125" style="338" customWidth="1"/>
    <col min="15625" max="15627" width="16.5" style="338" customWidth="1"/>
    <col min="15628" max="15628" width="17.83203125" style="338" bestFit="1" customWidth="1"/>
    <col min="15629" max="15629" width="16.5" style="338" customWidth="1"/>
    <col min="15630" max="15630" width="21" style="338" customWidth="1"/>
    <col min="15631" max="15631" width="16.5" style="338" customWidth="1"/>
    <col min="15632" max="15632" width="18.33203125" style="338" bestFit="1" customWidth="1"/>
    <col min="15633" max="15633" width="19.1640625" style="338" customWidth="1"/>
    <col min="15634" max="15635" width="18.33203125" style="338" customWidth="1"/>
    <col min="15636" max="15636" width="8.83203125" style="338"/>
    <col min="15637" max="15638" width="16.83203125" style="338" customWidth="1"/>
    <col min="15639" max="15640" width="11.6640625" style="338" customWidth="1"/>
    <col min="15641" max="15641" width="8.83203125" style="338"/>
    <col min="15642" max="15642" width="18.33203125" style="338" customWidth="1"/>
    <col min="15643" max="15643" width="16.5" style="338" customWidth="1"/>
    <col min="15644" max="15644" width="9.5" style="338" bestFit="1" customWidth="1"/>
    <col min="15645" max="15645" width="17.6640625" style="338" customWidth="1"/>
    <col min="15646" max="15646" width="14.83203125" style="338" bestFit="1" customWidth="1"/>
    <col min="15647" max="15857" width="8.83203125" style="338"/>
    <col min="15858" max="15858" width="24.1640625" style="338" customWidth="1"/>
    <col min="15859" max="15861" width="16.5" style="338" customWidth="1"/>
    <col min="15862" max="15862" width="18" style="338" customWidth="1"/>
    <col min="15863" max="15863" width="16.5" style="338" customWidth="1"/>
    <col min="15864" max="15864" width="4" style="338" customWidth="1"/>
    <col min="15865" max="15867" width="9.33203125" style="338" customWidth="1"/>
    <col min="15868" max="15868" width="22.5" style="338" customWidth="1"/>
    <col min="15869" max="15869" width="3.83203125" style="338" customWidth="1"/>
    <col min="15870" max="15870" width="16.5" style="338" customWidth="1"/>
    <col min="15871" max="15871" width="17.33203125" style="338" customWidth="1"/>
    <col min="15872" max="15875" width="16.5" style="338" customWidth="1"/>
    <col min="15876" max="15877" width="9.33203125" style="338" customWidth="1"/>
    <col min="15878" max="15878" width="18.83203125" style="338" customWidth="1"/>
    <col min="15879" max="15879" width="16.5" style="338" customWidth="1"/>
    <col min="15880" max="15880" width="17.83203125" style="338" customWidth="1"/>
    <col min="15881" max="15883" width="16.5" style="338" customWidth="1"/>
    <col min="15884" max="15884" width="17.83203125" style="338" bestFit="1" customWidth="1"/>
    <col min="15885" max="15885" width="16.5" style="338" customWidth="1"/>
    <col min="15886" max="15886" width="21" style="338" customWidth="1"/>
    <col min="15887" max="15887" width="16.5" style="338" customWidth="1"/>
    <col min="15888" max="15888" width="18.33203125" style="338" bestFit="1" customWidth="1"/>
    <col min="15889" max="15889" width="19.1640625" style="338" customWidth="1"/>
    <col min="15890" max="15891" width="18.33203125" style="338" customWidth="1"/>
    <col min="15892" max="15892" width="8.83203125" style="338"/>
    <col min="15893" max="15894" width="16.83203125" style="338" customWidth="1"/>
    <col min="15895" max="15896" width="11.6640625" style="338" customWidth="1"/>
    <col min="15897" max="15897" width="8.83203125" style="338"/>
    <col min="15898" max="15898" width="18.33203125" style="338" customWidth="1"/>
    <col min="15899" max="15899" width="16.5" style="338" customWidth="1"/>
    <col min="15900" max="15900" width="9.5" style="338" bestFit="1" customWidth="1"/>
    <col min="15901" max="15901" width="17.6640625" style="338" customWidth="1"/>
    <col min="15902" max="15902" width="14.83203125" style="338" bestFit="1" customWidth="1"/>
    <col min="15903" max="16113" width="8.83203125" style="338"/>
    <col min="16114" max="16114" width="24.1640625" style="338" customWidth="1"/>
    <col min="16115" max="16117" width="16.5" style="338" customWidth="1"/>
    <col min="16118" max="16118" width="18" style="338" customWidth="1"/>
    <col min="16119" max="16119" width="16.5" style="338" customWidth="1"/>
    <col min="16120" max="16120" width="4" style="338" customWidth="1"/>
    <col min="16121" max="16123" width="9.33203125" style="338" customWidth="1"/>
    <col min="16124" max="16124" width="22.5" style="338" customWidth="1"/>
    <col min="16125" max="16125" width="3.83203125" style="338" customWidth="1"/>
    <col min="16126" max="16126" width="16.5" style="338" customWidth="1"/>
    <col min="16127" max="16127" width="17.33203125" style="338" customWidth="1"/>
    <col min="16128" max="16131" width="16.5" style="338" customWidth="1"/>
    <col min="16132" max="16133" width="9.33203125" style="338" customWidth="1"/>
    <col min="16134" max="16134" width="18.83203125" style="338" customWidth="1"/>
    <col min="16135" max="16135" width="16.5" style="338" customWidth="1"/>
    <col min="16136" max="16136" width="17.83203125" style="338" customWidth="1"/>
    <col min="16137" max="16139" width="16.5" style="338" customWidth="1"/>
    <col min="16140" max="16140" width="17.83203125" style="338" bestFit="1" customWidth="1"/>
    <col min="16141" max="16141" width="16.5" style="338" customWidth="1"/>
    <col min="16142" max="16142" width="21" style="338" customWidth="1"/>
    <col min="16143" max="16143" width="16.5" style="338" customWidth="1"/>
    <col min="16144" max="16144" width="18.33203125" style="338" bestFit="1" customWidth="1"/>
    <col min="16145" max="16145" width="19.1640625" style="338" customWidth="1"/>
    <col min="16146" max="16147" width="18.33203125" style="338" customWidth="1"/>
    <col min="16148" max="16148" width="8.83203125" style="338"/>
    <col min="16149" max="16150" width="16.83203125" style="338" customWidth="1"/>
    <col min="16151" max="16152" width="11.6640625" style="338" customWidth="1"/>
    <col min="16153" max="16153" width="8.83203125" style="338"/>
    <col min="16154" max="16154" width="18.33203125" style="338" customWidth="1"/>
    <col min="16155" max="16155" width="16.5" style="338" customWidth="1"/>
    <col min="16156" max="16156" width="9.5" style="338" bestFit="1" customWidth="1"/>
    <col min="16157" max="16157" width="17.6640625" style="338" customWidth="1"/>
    <col min="16158" max="16158" width="14.83203125" style="338" bestFit="1" customWidth="1"/>
    <col min="16159" max="16384" width="8.83203125" style="338"/>
  </cols>
  <sheetData>
    <row r="1" spans="1:35" s="326" customFormat="1" ht="16.5">
      <c r="A1" s="325" t="s">
        <v>158</v>
      </c>
      <c r="B1" s="325" t="s">
        <v>159</v>
      </c>
      <c r="M1" s="327"/>
      <c r="T1" s="328" t="s">
        <v>160</v>
      </c>
      <c r="U1" s="329"/>
      <c r="W1" s="328"/>
      <c r="X1" s="328"/>
      <c r="Y1" s="328"/>
      <c r="AF1" s="330"/>
      <c r="AH1" s="331"/>
      <c r="AI1" s="332"/>
    </row>
    <row r="2" spans="1:35" s="333" customFormat="1" ht="6" customHeight="1">
      <c r="A2" s="177"/>
      <c r="U2" s="334"/>
      <c r="V2" s="334"/>
      <c r="AI2" s="335"/>
    </row>
    <row r="3" spans="1:35" ht="15.75" customHeight="1" thickBot="1">
      <c r="A3" s="336"/>
      <c r="B3" s="84">
        <v>-1</v>
      </c>
      <c r="C3" s="84">
        <v>-2</v>
      </c>
      <c r="D3" s="84">
        <v>-3</v>
      </c>
      <c r="E3" s="84">
        <v>-4</v>
      </c>
      <c r="F3" s="84">
        <v>-5</v>
      </c>
      <c r="G3" s="84"/>
      <c r="H3" s="84">
        <v>-6</v>
      </c>
      <c r="I3" s="84"/>
      <c r="J3" s="84">
        <v>-7</v>
      </c>
      <c r="K3" s="84">
        <v>-8</v>
      </c>
      <c r="L3" s="337">
        <v>-9</v>
      </c>
      <c r="M3" s="337">
        <v>-10</v>
      </c>
      <c r="N3" s="84">
        <v>-11</v>
      </c>
      <c r="O3" s="84">
        <v>-12</v>
      </c>
      <c r="P3" s="84">
        <v>-13</v>
      </c>
      <c r="Q3" s="84">
        <v>-14</v>
      </c>
      <c r="R3" s="84">
        <v>-15</v>
      </c>
      <c r="S3" s="84">
        <v>-16</v>
      </c>
      <c r="T3" s="84">
        <v>-17</v>
      </c>
      <c r="U3" s="337">
        <v>-18</v>
      </c>
      <c r="V3" s="337">
        <v>-19</v>
      </c>
      <c r="W3" s="84">
        <v>-20</v>
      </c>
      <c r="X3" s="84">
        <v>-21</v>
      </c>
      <c r="Y3" s="84">
        <v>-22</v>
      </c>
      <c r="Z3" s="84">
        <v>-23</v>
      </c>
      <c r="AA3" s="84">
        <v>-24</v>
      </c>
      <c r="AB3" s="84">
        <v>-25</v>
      </c>
      <c r="AC3" s="84">
        <v>-26</v>
      </c>
      <c r="AD3" s="84">
        <v>-27</v>
      </c>
      <c r="AE3" s="337">
        <v>-28</v>
      </c>
      <c r="AF3" s="337">
        <v>-29</v>
      </c>
      <c r="AG3" s="337">
        <v>-30</v>
      </c>
      <c r="AH3" s="337">
        <v>-31</v>
      </c>
      <c r="AI3" s="337">
        <v>-32</v>
      </c>
    </row>
    <row r="4" spans="1:35" ht="18" thickBot="1">
      <c r="A4" s="339"/>
      <c r="B4" s="464" t="s">
        <v>66</v>
      </c>
      <c r="C4" s="465"/>
      <c r="D4" s="465"/>
      <c r="E4" s="465"/>
      <c r="F4" s="465"/>
      <c r="G4" s="465"/>
      <c r="H4" s="465"/>
      <c r="I4" s="465"/>
      <c r="J4" s="465"/>
      <c r="K4" s="461"/>
      <c r="L4" s="465"/>
      <c r="M4" s="466"/>
      <c r="N4" s="464" t="s">
        <v>161</v>
      </c>
      <c r="O4" s="465"/>
      <c r="P4" s="465"/>
      <c r="Q4" s="465"/>
      <c r="R4" s="465"/>
      <c r="S4" s="465"/>
      <c r="T4" s="465" t="s">
        <v>162</v>
      </c>
      <c r="U4" s="465"/>
      <c r="V4" s="466"/>
      <c r="W4" s="467" t="s">
        <v>40</v>
      </c>
      <c r="X4" s="468"/>
      <c r="Y4" s="468"/>
      <c r="Z4" s="468"/>
      <c r="AA4" s="468"/>
      <c r="AB4" s="468"/>
      <c r="AC4" s="468"/>
      <c r="AD4" s="468"/>
      <c r="AE4" s="468"/>
      <c r="AF4" s="469"/>
      <c r="AG4" s="460" t="s">
        <v>63</v>
      </c>
      <c r="AH4" s="461"/>
      <c r="AI4" s="462"/>
    </row>
    <row r="5" spans="1:35" s="347" customFormat="1" ht="102" customHeight="1" thickBot="1">
      <c r="A5" s="340"/>
      <c r="B5" s="341" t="s">
        <v>126</v>
      </c>
      <c r="C5" s="341" t="s">
        <v>88</v>
      </c>
      <c r="D5" s="341" t="s">
        <v>89</v>
      </c>
      <c r="E5" s="341" t="s">
        <v>140</v>
      </c>
      <c r="F5" s="341" t="s">
        <v>127</v>
      </c>
      <c r="G5" s="341"/>
      <c r="H5" s="453" t="s">
        <v>192</v>
      </c>
      <c r="I5" s="341"/>
      <c r="J5" s="342" t="s">
        <v>163</v>
      </c>
      <c r="K5" s="342" t="s">
        <v>164</v>
      </c>
      <c r="L5" s="343" t="s">
        <v>198</v>
      </c>
      <c r="M5" s="344" t="s">
        <v>165</v>
      </c>
      <c r="N5" s="341" t="s">
        <v>126</v>
      </c>
      <c r="O5" s="341" t="s">
        <v>88</v>
      </c>
      <c r="P5" s="341" t="s">
        <v>90</v>
      </c>
      <c r="Q5" s="341" t="s">
        <v>140</v>
      </c>
      <c r="R5" s="453" t="s">
        <v>139</v>
      </c>
      <c r="S5" s="342" t="s">
        <v>166</v>
      </c>
      <c r="T5" s="342" t="s">
        <v>164</v>
      </c>
      <c r="U5" s="343" t="s">
        <v>197</v>
      </c>
      <c r="V5" s="344" t="s">
        <v>165</v>
      </c>
      <c r="W5" s="342" t="s">
        <v>41</v>
      </c>
      <c r="X5" s="341" t="s">
        <v>88</v>
      </c>
      <c r="Y5" s="341" t="s">
        <v>90</v>
      </c>
      <c r="Z5" s="341" t="s">
        <v>127</v>
      </c>
      <c r="AA5" s="341" t="s">
        <v>140</v>
      </c>
      <c r="AB5" s="453" t="s">
        <v>138</v>
      </c>
      <c r="AC5" s="342" t="s">
        <v>166</v>
      </c>
      <c r="AD5" s="342" t="s">
        <v>164</v>
      </c>
      <c r="AE5" s="343" t="s">
        <v>197</v>
      </c>
      <c r="AF5" s="344" t="s">
        <v>165</v>
      </c>
      <c r="AG5" s="345" t="s">
        <v>141</v>
      </c>
      <c r="AH5" s="343" t="s">
        <v>105</v>
      </c>
      <c r="AI5" s="346" t="s">
        <v>142</v>
      </c>
    </row>
    <row r="6" spans="1:35" s="355" customFormat="1" ht="22.9" customHeight="1">
      <c r="A6" s="348"/>
      <c r="B6" s="349"/>
      <c r="C6" s="349"/>
      <c r="D6" s="349"/>
      <c r="E6" s="349"/>
      <c r="F6" s="349"/>
      <c r="G6" s="463"/>
      <c r="H6" s="463"/>
      <c r="I6" s="463"/>
      <c r="J6" s="350"/>
      <c r="K6" s="255" t="s">
        <v>91</v>
      </c>
      <c r="L6" s="350"/>
      <c r="M6" s="255" t="s">
        <v>167</v>
      </c>
      <c r="N6" s="351"/>
      <c r="O6" s="352"/>
      <c r="P6" s="352"/>
      <c r="Q6" s="352"/>
      <c r="R6" s="256" t="s">
        <v>168</v>
      </c>
      <c r="S6" s="350"/>
      <c r="T6" s="256" t="s">
        <v>169</v>
      </c>
      <c r="U6" s="350"/>
      <c r="V6" s="257" t="s">
        <v>170</v>
      </c>
      <c r="W6" s="258" t="s">
        <v>171</v>
      </c>
      <c r="X6" s="258" t="s">
        <v>172</v>
      </c>
      <c r="Y6" s="258" t="s">
        <v>173</v>
      </c>
      <c r="Z6" s="256" t="s">
        <v>92</v>
      </c>
      <c r="AA6" s="258" t="s">
        <v>174</v>
      </c>
      <c r="AB6" s="258" t="s">
        <v>175</v>
      </c>
      <c r="AC6" s="258" t="s">
        <v>176</v>
      </c>
      <c r="AD6" s="258" t="s">
        <v>177</v>
      </c>
      <c r="AE6" s="258" t="s">
        <v>178</v>
      </c>
      <c r="AF6" s="259" t="s">
        <v>194</v>
      </c>
      <c r="AG6" s="353" t="s">
        <v>179</v>
      </c>
      <c r="AH6" s="260" t="s">
        <v>180</v>
      </c>
      <c r="AI6" s="354" t="s">
        <v>181</v>
      </c>
    </row>
    <row r="7" spans="1:35" s="362" customFormat="1" ht="6" customHeight="1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8"/>
      <c r="M7" s="358"/>
      <c r="N7" s="359"/>
      <c r="O7" s="357"/>
      <c r="P7" s="357"/>
      <c r="Q7" s="357"/>
      <c r="R7" s="357"/>
      <c r="S7" s="357"/>
      <c r="T7" s="357"/>
      <c r="U7" s="358"/>
      <c r="V7" s="360"/>
      <c r="W7" s="357"/>
      <c r="X7" s="357"/>
      <c r="Y7" s="357"/>
      <c r="Z7" s="357"/>
      <c r="AA7" s="357"/>
      <c r="AB7" s="357"/>
      <c r="AC7" s="357"/>
      <c r="AD7" s="357"/>
      <c r="AE7" s="358"/>
      <c r="AF7" s="360"/>
      <c r="AG7" s="361"/>
      <c r="AH7" s="358"/>
      <c r="AI7" s="360"/>
    </row>
    <row r="8" spans="1:35">
      <c r="A8" s="363" t="s">
        <v>0</v>
      </c>
      <c r="B8" s="364">
        <v>-112000</v>
      </c>
      <c r="C8" s="364">
        <v>0</v>
      </c>
      <c r="D8" s="364">
        <v>729000</v>
      </c>
      <c r="E8" s="364">
        <v>167000</v>
      </c>
      <c r="F8" s="364">
        <v>949000</v>
      </c>
      <c r="G8" s="364"/>
      <c r="H8" s="364">
        <v>-502000</v>
      </c>
      <c r="I8" s="364"/>
      <c r="J8" s="364">
        <v>3177000</v>
      </c>
      <c r="K8" s="365">
        <f>-ROUND((J8/3)/1000,0)*1000</f>
        <v>-1059000</v>
      </c>
      <c r="L8" s="366">
        <v>4197000</v>
      </c>
      <c r="M8" s="367">
        <f>-ROUND((L8/3)/1000,0)*1000</f>
        <v>-1399000</v>
      </c>
      <c r="N8" s="368">
        <v>50000</v>
      </c>
      <c r="O8" s="364">
        <v>0</v>
      </c>
      <c r="P8" s="364">
        <v>12000</v>
      </c>
      <c r="Q8" s="364">
        <v>3000</v>
      </c>
      <c r="R8" s="364">
        <v>-5000</v>
      </c>
      <c r="S8" s="364">
        <v>52000</v>
      </c>
      <c r="T8" s="364">
        <f>-ROUND(S8/3,-3)</f>
        <v>-17000</v>
      </c>
      <c r="U8" s="366">
        <v>69000</v>
      </c>
      <c r="V8" s="369">
        <f>-ROUND(U8/3,-3)</f>
        <v>-23000</v>
      </c>
      <c r="W8" s="364">
        <f t="shared" ref="W8:Y30" si="0">B8+N8</f>
        <v>-62000</v>
      </c>
      <c r="X8" s="364">
        <f t="shared" si="0"/>
        <v>0</v>
      </c>
      <c r="Y8" s="364">
        <f t="shared" si="0"/>
        <v>741000</v>
      </c>
      <c r="Z8" s="364">
        <f t="shared" ref="Z8:Z30" si="1">F8</f>
        <v>949000</v>
      </c>
      <c r="AA8" s="364">
        <f t="shared" ref="AA8:AA30" si="2">E8+Q8</f>
        <v>170000</v>
      </c>
      <c r="AB8" s="364">
        <f t="shared" ref="AB8:AB30" si="3">H8+R8</f>
        <v>-507000</v>
      </c>
      <c r="AC8" s="364">
        <f>J8+S8</f>
        <v>3229000</v>
      </c>
      <c r="AD8" s="364">
        <f>K8+T8</f>
        <v>-1076000</v>
      </c>
      <c r="AE8" s="366">
        <f>L8+U8</f>
        <v>4266000</v>
      </c>
      <c r="AF8" s="366">
        <f>M8+V8</f>
        <v>-1422000</v>
      </c>
      <c r="AG8" s="370">
        <f>W8+X8+Z8+AA8+AC8+Y8+AE8</f>
        <v>9293000</v>
      </c>
      <c r="AH8" s="366">
        <f>AB8+AD8+AF8</f>
        <v>-3005000</v>
      </c>
      <c r="AI8" s="369">
        <f>AG8+AH8</f>
        <v>6288000</v>
      </c>
    </row>
    <row r="9" spans="1:35">
      <c r="A9" s="371" t="s">
        <v>1</v>
      </c>
      <c r="B9" s="372">
        <v>188000</v>
      </c>
      <c r="C9" s="372">
        <v>-23000</v>
      </c>
      <c r="D9" s="372">
        <v>361000</v>
      </c>
      <c r="E9" s="372">
        <v>0</v>
      </c>
      <c r="F9" s="372">
        <v>974000</v>
      </c>
      <c r="G9" s="372"/>
      <c r="H9" s="372">
        <v>-325000</v>
      </c>
      <c r="I9" s="372"/>
      <c r="J9" s="372">
        <v>1610000</v>
      </c>
      <c r="K9" s="372">
        <f t="shared" ref="K9:M30" si="4">-ROUND((J9/3)/1000,0)*1000</f>
        <v>-537000</v>
      </c>
      <c r="L9" s="373">
        <v>2132000</v>
      </c>
      <c r="M9" s="373">
        <f t="shared" si="4"/>
        <v>-711000</v>
      </c>
      <c r="N9" s="374">
        <v>1000</v>
      </c>
      <c r="O9" s="372">
        <v>0</v>
      </c>
      <c r="P9" s="372">
        <v>1000</v>
      </c>
      <c r="Q9" s="372">
        <v>0</v>
      </c>
      <c r="R9" s="372">
        <v>0</v>
      </c>
      <c r="S9" s="372">
        <v>4000</v>
      </c>
      <c r="T9" s="372">
        <f t="shared" ref="T9:V30" si="5">-ROUND(S9/3,-3)</f>
        <v>-1000</v>
      </c>
      <c r="U9" s="373">
        <v>7000</v>
      </c>
      <c r="V9" s="375">
        <f t="shared" si="5"/>
        <v>-2000</v>
      </c>
      <c r="W9" s="372">
        <f t="shared" si="0"/>
        <v>189000</v>
      </c>
      <c r="X9" s="372">
        <f t="shared" si="0"/>
        <v>-23000</v>
      </c>
      <c r="Y9" s="372">
        <f t="shared" si="0"/>
        <v>362000</v>
      </c>
      <c r="Z9" s="372">
        <f t="shared" si="1"/>
        <v>974000</v>
      </c>
      <c r="AA9" s="372">
        <f t="shared" si="2"/>
        <v>0</v>
      </c>
      <c r="AB9" s="372">
        <f t="shared" si="3"/>
        <v>-325000</v>
      </c>
      <c r="AC9" s="372">
        <f t="shared" ref="AC9:AF30" si="6">J9+S9</f>
        <v>1614000</v>
      </c>
      <c r="AD9" s="372">
        <f>K9+T9</f>
        <v>-538000</v>
      </c>
      <c r="AE9" s="373">
        <f>L9+U9</f>
        <v>2139000</v>
      </c>
      <c r="AF9" s="373">
        <f>M9+V9</f>
        <v>-713000</v>
      </c>
      <c r="AG9" s="376">
        <f>W9+X9+Z9+AA9+AC9+Y9+AE9</f>
        <v>5255000</v>
      </c>
      <c r="AH9" s="373">
        <f>AB9+AD9+AF9</f>
        <v>-1576000</v>
      </c>
      <c r="AI9" s="375">
        <f>AG9+AH9</f>
        <v>3679000</v>
      </c>
    </row>
    <row r="10" spans="1:35">
      <c r="A10" s="371" t="s">
        <v>2</v>
      </c>
      <c r="B10" s="372">
        <v>651000</v>
      </c>
      <c r="C10" s="372">
        <v>-614000</v>
      </c>
      <c r="D10" s="372">
        <v>1518000</v>
      </c>
      <c r="E10" s="372">
        <v>0</v>
      </c>
      <c r="F10" s="372">
        <v>1094000</v>
      </c>
      <c r="G10" s="372"/>
      <c r="H10" s="372">
        <v>-754000</v>
      </c>
      <c r="I10" s="372"/>
      <c r="J10" s="372">
        <v>6526000</v>
      </c>
      <c r="K10" s="372">
        <f t="shared" si="4"/>
        <v>-2175000</v>
      </c>
      <c r="L10" s="373">
        <v>8638000</v>
      </c>
      <c r="M10" s="373">
        <f t="shared" si="4"/>
        <v>-2879000</v>
      </c>
      <c r="N10" s="374">
        <v>261000</v>
      </c>
      <c r="O10" s="372">
        <v>-63000</v>
      </c>
      <c r="P10" s="372">
        <v>58000</v>
      </c>
      <c r="Q10" s="372">
        <v>0</v>
      </c>
      <c r="R10" s="372">
        <v>-19000</v>
      </c>
      <c r="S10" s="372">
        <v>244000</v>
      </c>
      <c r="T10" s="372">
        <f t="shared" si="5"/>
        <v>-81000</v>
      </c>
      <c r="U10" s="373">
        <v>325000</v>
      </c>
      <c r="V10" s="375">
        <f t="shared" si="5"/>
        <v>-108000</v>
      </c>
      <c r="W10" s="372">
        <f t="shared" si="0"/>
        <v>912000</v>
      </c>
      <c r="X10" s="372">
        <f t="shared" si="0"/>
        <v>-677000</v>
      </c>
      <c r="Y10" s="372">
        <f t="shared" si="0"/>
        <v>1576000</v>
      </c>
      <c r="Z10" s="372">
        <f t="shared" si="1"/>
        <v>1094000</v>
      </c>
      <c r="AA10" s="372">
        <f t="shared" si="2"/>
        <v>0</v>
      </c>
      <c r="AB10" s="372">
        <f t="shared" si="3"/>
        <v>-773000</v>
      </c>
      <c r="AC10" s="372">
        <f t="shared" si="6"/>
        <v>6770000</v>
      </c>
      <c r="AD10" s="372">
        <f t="shared" si="6"/>
        <v>-2256000</v>
      </c>
      <c r="AE10" s="373">
        <f t="shared" si="6"/>
        <v>8963000</v>
      </c>
      <c r="AF10" s="373">
        <f t="shared" si="6"/>
        <v>-2987000</v>
      </c>
      <c r="AG10" s="376">
        <f t="shared" ref="AG10:AG30" si="7">W10+X10+Z10+AA10+AC10+Y10+AE10</f>
        <v>18638000</v>
      </c>
      <c r="AH10" s="373">
        <f t="shared" ref="AH10:AH29" si="8">AB10+AD10+AF10</f>
        <v>-6016000</v>
      </c>
      <c r="AI10" s="375">
        <f t="shared" ref="AI10:AI29" si="9">AG10+AH10</f>
        <v>12622000</v>
      </c>
    </row>
    <row r="11" spans="1:35">
      <c r="A11" s="371" t="s">
        <v>3</v>
      </c>
      <c r="B11" s="372">
        <v>-950000</v>
      </c>
      <c r="C11" s="372">
        <v>-714000</v>
      </c>
      <c r="D11" s="372">
        <v>1183000</v>
      </c>
      <c r="E11" s="372">
        <v>0</v>
      </c>
      <c r="F11" s="372">
        <v>2113000</v>
      </c>
      <c r="G11" s="372"/>
      <c r="H11" s="372">
        <v>-784000</v>
      </c>
      <c r="I11" s="372"/>
      <c r="J11" s="372">
        <v>5231000</v>
      </c>
      <c r="K11" s="372">
        <f t="shared" si="4"/>
        <v>-1744000</v>
      </c>
      <c r="L11" s="373">
        <v>6916000</v>
      </c>
      <c r="M11" s="373">
        <f t="shared" si="4"/>
        <v>-2305000</v>
      </c>
      <c r="N11" s="374">
        <v>126000</v>
      </c>
      <c r="O11" s="372">
        <v>-36000</v>
      </c>
      <c r="P11" s="372">
        <v>16000</v>
      </c>
      <c r="Q11" s="372">
        <v>0</v>
      </c>
      <c r="R11" s="372">
        <v>-5000</v>
      </c>
      <c r="S11" s="372">
        <v>58000</v>
      </c>
      <c r="T11" s="372">
        <f t="shared" si="5"/>
        <v>-19000</v>
      </c>
      <c r="U11" s="373">
        <v>80000</v>
      </c>
      <c r="V11" s="375">
        <f t="shared" si="5"/>
        <v>-27000</v>
      </c>
      <c r="W11" s="372">
        <f t="shared" si="0"/>
        <v>-824000</v>
      </c>
      <c r="X11" s="372">
        <f t="shared" si="0"/>
        <v>-750000</v>
      </c>
      <c r="Y11" s="372">
        <f t="shared" si="0"/>
        <v>1199000</v>
      </c>
      <c r="Z11" s="372">
        <f t="shared" si="1"/>
        <v>2113000</v>
      </c>
      <c r="AA11" s="372">
        <f t="shared" si="2"/>
        <v>0</v>
      </c>
      <c r="AB11" s="372">
        <f t="shared" si="3"/>
        <v>-789000</v>
      </c>
      <c r="AC11" s="372">
        <f t="shared" si="6"/>
        <v>5289000</v>
      </c>
      <c r="AD11" s="372">
        <f t="shared" si="6"/>
        <v>-1763000</v>
      </c>
      <c r="AE11" s="373">
        <f t="shared" si="6"/>
        <v>6996000</v>
      </c>
      <c r="AF11" s="373">
        <f t="shared" si="6"/>
        <v>-2332000</v>
      </c>
      <c r="AG11" s="376">
        <f t="shared" si="7"/>
        <v>14023000</v>
      </c>
      <c r="AH11" s="373">
        <f t="shared" si="8"/>
        <v>-4884000</v>
      </c>
      <c r="AI11" s="375">
        <f t="shared" si="9"/>
        <v>9139000</v>
      </c>
    </row>
    <row r="12" spans="1:35">
      <c r="A12" s="371" t="s">
        <v>29</v>
      </c>
      <c r="B12" s="372">
        <v>1080000</v>
      </c>
      <c r="C12" s="372">
        <v>0</v>
      </c>
      <c r="D12" s="372">
        <v>1174000</v>
      </c>
      <c r="E12" s="372">
        <v>659000</v>
      </c>
      <c r="F12" s="372">
        <v>719000</v>
      </c>
      <c r="G12" s="372"/>
      <c r="H12" s="372">
        <v>-757000</v>
      </c>
      <c r="I12" s="372"/>
      <c r="J12" s="372">
        <v>5039000</v>
      </c>
      <c r="K12" s="372">
        <f t="shared" si="4"/>
        <v>-1680000</v>
      </c>
      <c r="L12" s="373">
        <v>6653000</v>
      </c>
      <c r="M12" s="373">
        <f t="shared" si="4"/>
        <v>-2218000</v>
      </c>
      <c r="N12" s="374">
        <v>843000</v>
      </c>
      <c r="O12" s="372">
        <v>0</v>
      </c>
      <c r="P12" s="372">
        <v>124000</v>
      </c>
      <c r="Q12" s="372">
        <v>69000</v>
      </c>
      <c r="R12" s="372">
        <v>-64000</v>
      </c>
      <c r="S12" s="372">
        <v>529000</v>
      </c>
      <c r="T12" s="372">
        <f t="shared" si="5"/>
        <v>-176000</v>
      </c>
      <c r="U12" s="373">
        <v>698000</v>
      </c>
      <c r="V12" s="375">
        <f t="shared" si="5"/>
        <v>-233000</v>
      </c>
      <c r="W12" s="372">
        <f t="shared" si="0"/>
        <v>1923000</v>
      </c>
      <c r="X12" s="372">
        <f t="shared" si="0"/>
        <v>0</v>
      </c>
      <c r="Y12" s="372">
        <f t="shared" si="0"/>
        <v>1298000</v>
      </c>
      <c r="Z12" s="372">
        <f t="shared" si="1"/>
        <v>719000</v>
      </c>
      <c r="AA12" s="372">
        <f t="shared" si="2"/>
        <v>728000</v>
      </c>
      <c r="AB12" s="372">
        <f t="shared" si="3"/>
        <v>-821000</v>
      </c>
      <c r="AC12" s="372">
        <f t="shared" si="6"/>
        <v>5568000</v>
      </c>
      <c r="AD12" s="372">
        <f t="shared" si="6"/>
        <v>-1856000</v>
      </c>
      <c r="AE12" s="373">
        <f t="shared" si="6"/>
        <v>7351000</v>
      </c>
      <c r="AF12" s="373">
        <f t="shared" si="6"/>
        <v>-2451000</v>
      </c>
      <c r="AG12" s="376">
        <f t="shared" si="7"/>
        <v>17587000</v>
      </c>
      <c r="AH12" s="373">
        <f t="shared" si="8"/>
        <v>-5128000</v>
      </c>
      <c r="AI12" s="375">
        <f t="shared" si="9"/>
        <v>12459000</v>
      </c>
    </row>
    <row r="13" spans="1:35">
      <c r="A13" s="371" t="s">
        <v>4</v>
      </c>
      <c r="B13" s="372">
        <v>-544000</v>
      </c>
      <c r="C13" s="372">
        <v>-339000</v>
      </c>
      <c r="D13" s="372">
        <v>1984000</v>
      </c>
      <c r="E13" s="372">
        <v>0</v>
      </c>
      <c r="F13" s="372">
        <v>1550000</v>
      </c>
      <c r="G13" s="372"/>
      <c r="H13" s="372">
        <v>-992000</v>
      </c>
      <c r="I13" s="372"/>
      <c r="J13" s="372">
        <v>8557000</v>
      </c>
      <c r="K13" s="372">
        <f t="shared" si="4"/>
        <v>-2852000</v>
      </c>
      <c r="L13" s="373">
        <v>11320000</v>
      </c>
      <c r="M13" s="373">
        <f t="shared" si="4"/>
        <v>-3773000</v>
      </c>
      <c r="N13" s="374">
        <v>-447000</v>
      </c>
      <c r="O13" s="372">
        <v>-54000</v>
      </c>
      <c r="P13" s="372">
        <v>54000</v>
      </c>
      <c r="Q13" s="372">
        <v>0</v>
      </c>
      <c r="R13" s="372">
        <v>-18000</v>
      </c>
      <c r="S13" s="372">
        <v>228000</v>
      </c>
      <c r="T13" s="372">
        <f t="shared" si="5"/>
        <v>-76000</v>
      </c>
      <c r="U13" s="373">
        <v>304000</v>
      </c>
      <c r="V13" s="375">
        <f t="shared" si="5"/>
        <v>-101000</v>
      </c>
      <c r="W13" s="372">
        <f t="shared" si="0"/>
        <v>-991000</v>
      </c>
      <c r="X13" s="372">
        <f t="shared" si="0"/>
        <v>-393000</v>
      </c>
      <c r="Y13" s="372">
        <f t="shared" si="0"/>
        <v>2038000</v>
      </c>
      <c r="Z13" s="372">
        <f t="shared" si="1"/>
        <v>1550000</v>
      </c>
      <c r="AA13" s="372">
        <f t="shared" si="2"/>
        <v>0</v>
      </c>
      <c r="AB13" s="372">
        <f t="shared" si="3"/>
        <v>-1010000</v>
      </c>
      <c r="AC13" s="372">
        <f t="shared" si="6"/>
        <v>8785000</v>
      </c>
      <c r="AD13" s="372">
        <f t="shared" si="6"/>
        <v>-2928000</v>
      </c>
      <c r="AE13" s="373">
        <f t="shared" si="6"/>
        <v>11624000</v>
      </c>
      <c r="AF13" s="373">
        <f t="shared" si="6"/>
        <v>-3874000</v>
      </c>
      <c r="AG13" s="376">
        <f t="shared" si="7"/>
        <v>22613000</v>
      </c>
      <c r="AH13" s="373">
        <f t="shared" si="8"/>
        <v>-7812000</v>
      </c>
      <c r="AI13" s="375">
        <f t="shared" si="9"/>
        <v>14801000</v>
      </c>
    </row>
    <row r="14" spans="1:35">
      <c r="A14" s="371" t="s">
        <v>5</v>
      </c>
      <c r="B14" s="372">
        <v>-1338000</v>
      </c>
      <c r="C14" s="372">
        <v>-2355000</v>
      </c>
      <c r="D14" s="372">
        <v>3225000</v>
      </c>
      <c r="E14" s="372">
        <v>0</v>
      </c>
      <c r="F14" s="372">
        <v>6912000</v>
      </c>
      <c r="G14" s="372"/>
      <c r="H14" s="372">
        <v>-2430000</v>
      </c>
      <c r="I14" s="372"/>
      <c r="J14" s="372">
        <v>14347000</v>
      </c>
      <c r="K14" s="372">
        <f t="shared" si="4"/>
        <v>-4782000</v>
      </c>
      <c r="L14" s="373">
        <v>18976000</v>
      </c>
      <c r="M14" s="373">
        <f t="shared" si="4"/>
        <v>-6325000</v>
      </c>
      <c r="N14" s="374">
        <v>-446000</v>
      </c>
      <c r="O14" s="372">
        <v>-282000</v>
      </c>
      <c r="P14" s="372">
        <v>110000</v>
      </c>
      <c r="Q14" s="372">
        <v>0</v>
      </c>
      <c r="R14" s="372">
        <v>-37000</v>
      </c>
      <c r="S14" s="372">
        <v>472000</v>
      </c>
      <c r="T14" s="372">
        <f t="shared" si="5"/>
        <v>-157000</v>
      </c>
      <c r="U14" s="373">
        <v>619000</v>
      </c>
      <c r="V14" s="375">
        <f t="shared" si="5"/>
        <v>-206000</v>
      </c>
      <c r="W14" s="372">
        <f t="shared" si="0"/>
        <v>-1784000</v>
      </c>
      <c r="X14" s="372">
        <f t="shared" si="0"/>
        <v>-2637000</v>
      </c>
      <c r="Y14" s="372">
        <f t="shared" si="0"/>
        <v>3335000</v>
      </c>
      <c r="Z14" s="372">
        <f t="shared" si="1"/>
        <v>6912000</v>
      </c>
      <c r="AA14" s="372">
        <f t="shared" si="2"/>
        <v>0</v>
      </c>
      <c r="AB14" s="372">
        <f t="shared" si="3"/>
        <v>-2467000</v>
      </c>
      <c r="AC14" s="372">
        <f t="shared" si="6"/>
        <v>14819000</v>
      </c>
      <c r="AD14" s="372">
        <f t="shared" si="6"/>
        <v>-4939000</v>
      </c>
      <c r="AE14" s="373">
        <f t="shared" si="6"/>
        <v>19595000</v>
      </c>
      <c r="AF14" s="373">
        <f t="shared" si="6"/>
        <v>-6531000</v>
      </c>
      <c r="AG14" s="376">
        <f t="shared" si="7"/>
        <v>40240000</v>
      </c>
      <c r="AH14" s="373">
        <f t="shared" si="8"/>
        <v>-13937000</v>
      </c>
      <c r="AI14" s="375">
        <f t="shared" si="9"/>
        <v>26303000</v>
      </c>
    </row>
    <row r="15" spans="1:35">
      <c r="A15" s="371" t="s">
        <v>6</v>
      </c>
      <c r="B15" s="372">
        <v>-654000</v>
      </c>
      <c r="C15" s="372">
        <v>0</v>
      </c>
      <c r="D15" s="372">
        <v>724000</v>
      </c>
      <c r="E15" s="372">
        <v>0</v>
      </c>
      <c r="F15" s="372">
        <v>871000</v>
      </c>
      <c r="G15" s="372"/>
      <c r="H15" s="372">
        <v>-438000</v>
      </c>
      <c r="I15" s="372"/>
      <c r="J15" s="372">
        <v>3143000</v>
      </c>
      <c r="K15" s="372">
        <f t="shared" si="4"/>
        <v>-1048000</v>
      </c>
      <c r="L15" s="373">
        <v>4163000</v>
      </c>
      <c r="M15" s="373">
        <f t="shared" si="4"/>
        <v>-1388000</v>
      </c>
      <c r="N15" s="374">
        <v>-25000</v>
      </c>
      <c r="O15" s="372">
        <v>0</v>
      </c>
      <c r="P15" s="372">
        <v>26000</v>
      </c>
      <c r="Q15" s="372">
        <v>0</v>
      </c>
      <c r="R15" s="372">
        <v>-9000</v>
      </c>
      <c r="S15" s="372">
        <v>115000</v>
      </c>
      <c r="T15" s="372">
        <f t="shared" si="5"/>
        <v>-38000</v>
      </c>
      <c r="U15" s="373">
        <v>154000</v>
      </c>
      <c r="V15" s="375">
        <f t="shared" si="5"/>
        <v>-51000</v>
      </c>
      <c r="W15" s="372">
        <f t="shared" si="0"/>
        <v>-679000</v>
      </c>
      <c r="X15" s="372">
        <f t="shared" si="0"/>
        <v>0</v>
      </c>
      <c r="Y15" s="372">
        <f t="shared" si="0"/>
        <v>750000</v>
      </c>
      <c r="Z15" s="372">
        <f t="shared" si="1"/>
        <v>871000</v>
      </c>
      <c r="AA15" s="372">
        <f t="shared" si="2"/>
        <v>0</v>
      </c>
      <c r="AB15" s="372">
        <f t="shared" si="3"/>
        <v>-447000</v>
      </c>
      <c r="AC15" s="372">
        <f t="shared" si="6"/>
        <v>3258000</v>
      </c>
      <c r="AD15" s="372">
        <f t="shared" si="6"/>
        <v>-1086000</v>
      </c>
      <c r="AE15" s="373">
        <f t="shared" si="6"/>
        <v>4317000</v>
      </c>
      <c r="AF15" s="373">
        <f t="shared" si="6"/>
        <v>-1439000</v>
      </c>
      <c r="AG15" s="376">
        <f t="shared" si="7"/>
        <v>8517000</v>
      </c>
      <c r="AH15" s="373">
        <f t="shared" si="8"/>
        <v>-2972000</v>
      </c>
      <c r="AI15" s="375">
        <f t="shared" si="9"/>
        <v>5545000</v>
      </c>
    </row>
    <row r="16" spans="1:35">
      <c r="A16" s="371" t="s">
        <v>7</v>
      </c>
      <c r="B16" s="372">
        <v>610000</v>
      </c>
      <c r="C16" s="372">
        <v>-3026000</v>
      </c>
      <c r="D16" s="372">
        <v>3241000</v>
      </c>
      <c r="E16" s="372">
        <v>0</v>
      </c>
      <c r="F16" s="372">
        <v>2229000</v>
      </c>
      <c r="G16" s="372"/>
      <c r="H16" s="372">
        <v>-1527000</v>
      </c>
      <c r="I16" s="372"/>
      <c r="J16" s="372">
        <v>13944000</v>
      </c>
      <c r="K16" s="372">
        <f t="shared" si="4"/>
        <v>-4648000</v>
      </c>
      <c r="L16" s="373">
        <v>18437000</v>
      </c>
      <c r="M16" s="373">
        <f t="shared" si="4"/>
        <v>-6146000</v>
      </c>
      <c r="N16" s="374">
        <v>-764000</v>
      </c>
      <c r="O16" s="372">
        <v>-395000</v>
      </c>
      <c r="P16" s="372">
        <v>138000</v>
      </c>
      <c r="Q16" s="372">
        <v>0</v>
      </c>
      <c r="R16" s="372">
        <v>-46000</v>
      </c>
      <c r="S16" s="372">
        <v>582000</v>
      </c>
      <c r="T16" s="372">
        <f t="shared" si="5"/>
        <v>-194000</v>
      </c>
      <c r="U16" s="373">
        <v>768000</v>
      </c>
      <c r="V16" s="375">
        <f t="shared" si="5"/>
        <v>-256000</v>
      </c>
      <c r="W16" s="372">
        <f t="shared" si="0"/>
        <v>-154000</v>
      </c>
      <c r="X16" s="372">
        <f t="shared" si="0"/>
        <v>-3421000</v>
      </c>
      <c r="Y16" s="372">
        <f t="shared" si="0"/>
        <v>3379000</v>
      </c>
      <c r="Z16" s="372">
        <f t="shared" si="1"/>
        <v>2229000</v>
      </c>
      <c r="AA16" s="372">
        <f t="shared" si="2"/>
        <v>0</v>
      </c>
      <c r="AB16" s="372">
        <f t="shared" si="3"/>
        <v>-1573000</v>
      </c>
      <c r="AC16" s="372">
        <f t="shared" si="6"/>
        <v>14526000</v>
      </c>
      <c r="AD16" s="372">
        <f t="shared" si="6"/>
        <v>-4842000</v>
      </c>
      <c r="AE16" s="373">
        <f t="shared" si="6"/>
        <v>19205000</v>
      </c>
      <c r="AF16" s="373">
        <f t="shared" si="6"/>
        <v>-6402000</v>
      </c>
      <c r="AG16" s="376">
        <f t="shared" si="7"/>
        <v>35764000</v>
      </c>
      <c r="AH16" s="373">
        <f t="shared" si="8"/>
        <v>-12817000</v>
      </c>
      <c r="AI16" s="375">
        <f t="shared" si="9"/>
        <v>22947000</v>
      </c>
    </row>
    <row r="17" spans="1:35">
      <c r="A17" s="371" t="s">
        <v>8</v>
      </c>
      <c r="B17" s="372">
        <v>256000</v>
      </c>
      <c r="C17" s="372">
        <v>0</v>
      </c>
      <c r="D17" s="372">
        <v>1807000</v>
      </c>
      <c r="E17" s="372">
        <v>1082000</v>
      </c>
      <c r="F17" s="372">
        <v>1225000</v>
      </c>
      <c r="G17" s="372"/>
      <c r="H17" s="372">
        <v>-1195000</v>
      </c>
      <c r="I17" s="372"/>
      <c r="J17" s="372">
        <v>7759000</v>
      </c>
      <c r="K17" s="372">
        <f>-ROUND((J17/3)/1000,0)*1000-1000</f>
        <v>-2587000</v>
      </c>
      <c r="L17" s="373">
        <v>10238000</v>
      </c>
      <c r="M17" s="373">
        <f>-ROUND((L17/3)/1000,0)*1000</f>
        <v>-3413000</v>
      </c>
      <c r="N17" s="374">
        <v>-731000</v>
      </c>
      <c r="O17" s="372">
        <v>0</v>
      </c>
      <c r="P17" s="372">
        <v>102000</v>
      </c>
      <c r="Q17" s="372">
        <v>50000</v>
      </c>
      <c r="R17" s="372">
        <v>-51000</v>
      </c>
      <c r="S17" s="372">
        <v>428000</v>
      </c>
      <c r="T17" s="372">
        <f>-ROUND(S17/3,-3)</f>
        <v>-143000</v>
      </c>
      <c r="U17" s="373">
        <v>565000</v>
      </c>
      <c r="V17" s="375">
        <f>-ROUND(U17/3,-3)</f>
        <v>-188000</v>
      </c>
      <c r="W17" s="372">
        <f t="shared" si="0"/>
        <v>-475000</v>
      </c>
      <c r="X17" s="372">
        <f t="shared" si="0"/>
        <v>0</v>
      </c>
      <c r="Y17" s="372">
        <f t="shared" si="0"/>
        <v>1909000</v>
      </c>
      <c r="Z17" s="372">
        <f t="shared" si="1"/>
        <v>1225000</v>
      </c>
      <c r="AA17" s="372">
        <f t="shared" si="2"/>
        <v>1132000</v>
      </c>
      <c r="AB17" s="372">
        <f t="shared" si="3"/>
        <v>-1246000</v>
      </c>
      <c r="AC17" s="372">
        <f t="shared" si="6"/>
        <v>8187000</v>
      </c>
      <c r="AD17" s="372">
        <f t="shared" si="6"/>
        <v>-2730000</v>
      </c>
      <c r="AE17" s="373">
        <f t="shared" si="6"/>
        <v>10803000</v>
      </c>
      <c r="AF17" s="373">
        <f t="shared" si="6"/>
        <v>-3601000</v>
      </c>
      <c r="AG17" s="376">
        <f t="shared" si="7"/>
        <v>22781000</v>
      </c>
      <c r="AH17" s="373">
        <f t="shared" si="8"/>
        <v>-7577000</v>
      </c>
      <c r="AI17" s="375">
        <f t="shared" si="9"/>
        <v>15204000</v>
      </c>
    </row>
    <row r="18" spans="1:35">
      <c r="A18" s="371" t="s">
        <v>9</v>
      </c>
      <c r="B18" s="372">
        <v>-66000</v>
      </c>
      <c r="C18" s="372">
        <v>0</v>
      </c>
      <c r="D18" s="372">
        <v>74000</v>
      </c>
      <c r="E18" s="372">
        <v>0</v>
      </c>
      <c r="F18" s="372">
        <v>255000</v>
      </c>
      <c r="G18" s="372"/>
      <c r="H18" s="372">
        <v>-105000</v>
      </c>
      <c r="I18" s="372"/>
      <c r="J18" s="372">
        <v>339000</v>
      </c>
      <c r="K18" s="372">
        <f t="shared" si="4"/>
        <v>-113000</v>
      </c>
      <c r="L18" s="373">
        <v>453000</v>
      </c>
      <c r="M18" s="373">
        <f t="shared" si="4"/>
        <v>-151000</v>
      </c>
      <c r="N18" s="374">
        <v>-70000</v>
      </c>
      <c r="O18" s="372">
        <v>0</v>
      </c>
      <c r="P18" s="372">
        <v>2000</v>
      </c>
      <c r="Q18" s="372">
        <v>0</v>
      </c>
      <c r="R18" s="372">
        <v>-1000</v>
      </c>
      <c r="S18" s="372">
        <v>11000</v>
      </c>
      <c r="T18" s="372">
        <f t="shared" si="5"/>
        <v>-4000</v>
      </c>
      <c r="U18" s="373">
        <v>14000</v>
      </c>
      <c r="V18" s="375">
        <f t="shared" si="5"/>
        <v>-5000</v>
      </c>
      <c r="W18" s="372">
        <f t="shared" si="0"/>
        <v>-136000</v>
      </c>
      <c r="X18" s="372">
        <f t="shared" si="0"/>
        <v>0</v>
      </c>
      <c r="Y18" s="372">
        <f t="shared" si="0"/>
        <v>76000</v>
      </c>
      <c r="Z18" s="372">
        <f t="shared" si="1"/>
        <v>255000</v>
      </c>
      <c r="AA18" s="372">
        <f t="shared" si="2"/>
        <v>0</v>
      </c>
      <c r="AB18" s="372">
        <f t="shared" si="3"/>
        <v>-106000</v>
      </c>
      <c r="AC18" s="372">
        <f t="shared" si="6"/>
        <v>350000</v>
      </c>
      <c r="AD18" s="372">
        <f t="shared" si="6"/>
        <v>-117000</v>
      </c>
      <c r="AE18" s="373">
        <f t="shared" si="6"/>
        <v>467000</v>
      </c>
      <c r="AF18" s="373">
        <f t="shared" si="6"/>
        <v>-156000</v>
      </c>
      <c r="AG18" s="376">
        <f t="shared" si="7"/>
        <v>1012000</v>
      </c>
      <c r="AH18" s="373">
        <f t="shared" si="8"/>
        <v>-379000</v>
      </c>
      <c r="AI18" s="375">
        <f t="shared" si="9"/>
        <v>633000</v>
      </c>
    </row>
    <row r="19" spans="1:35">
      <c r="A19" s="371" t="s">
        <v>10</v>
      </c>
      <c r="B19" s="372">
        <v>-588000</v>
      </c>
      <c r="C19" s="372">
        <v>0</v>
      </c>
      <c r="D19" s="372">
        <v>408000</v>
      </c>
      <c r="E19" s="372">
        <v>0</v>
      </c>
      <c r="F19" s="372">
        <v>2706000</v>
      </c>
      <c r="G19" s="372"/>
      <c r="H19" s="372">
        <v>-773000</v>
      </c>
      <c r="I19" s="372"/>
      <c r="J19" s="372">
        <v>1989000</v>
      </c>
      <c r="K19" s="372">
        <f t="shared" si="4"/>
        <v>-663000</v>
      </c>
      <c r="L19" s="373">
        <v>2633000</v>
      </c>
      <c r="M19" s="373">
        <f t="shared" si="4"/>
        <v>-878000</v>
      </c>
      <c r="N19" s="374">
        <v>-209000</v>
      </c>
      <c r="O19" s="372">
        <v>0</v>
      </c>
      <c r="P19" s="372">
        <v>9000</v>
      </c>
      <c r="Q19" s="372">
        <v>0</v>
      </c>
      <c r="R19" s="372">
        <v>-3000</v>
      </c>
      <c r="S19" s="372">
        <v>38000</v>
      </c>
      <c r="T19" s="372">
        <f t="shared" si="5"/>
        <v>-13000</v>
      </c>
      <c r="U19" s="373">
        <v>52000</v>
      </c>
      <c r="V19" s="375">
        <f t="shared" si="5"/>
        <v>-17000</v>
      </c>
      <c r="W19" s="372">
        <f t="shared" si="0"/>
        <v>-797000</v>
      </c>
      <c r="X19" s="372">
        <f t="shared" si="0"/>
        <v>0</v>
      </c>
      <c r="Y19" s="372">
        <f t="shared" si="0"/>
        <v>417000</v>
      </c>
      <c r="Z19" s="372">
        <f t="shared" si="1"/>
        <v>2706000</v>
      </c>
      <c r="AA19" s="372">
        <f t="shared" si="2"/>
        <v>0</v>
      </c>
      <c r="AB19" s="372">
        <f t="shared" si="3"/>
        <v>-776000</v>
      </c>
      <c r="AC19" s="372">
        <f t="shared" si="6"/>
        <v>2027000</v>
      </c>
      <c r="AD19" s="372">
        <f t="shared" si="6"/>
        <v>-676000</v>
      </c>
      <c r="AE19" s="373">
        <f t="shared" si="6"/>
        <v>2685000</v>
      </c>
      <c r="AF19" s="373">
        <f t="shared" si="6"/>
        <v>-895000</v>
      </c>
      <c r="AG19" s="376">
        <f t="shared" si="7"/>
        <v>7038000</v>
      </c>
      <c r="AH19" s="373">
        <f t="shared" si="8"/>
        <v>-2347000</v>
      </c>
      <c r="AI19" s="375">
        <f t="shared" si="9"/>
        <v>4691000</v>
      </c>
    </row>
    <row r="20" spans="1:35">
      <c r="A20" s="371" t="s">
        <v>11</v>
      </c>
      <c r="B20" s="372">
        <v>627000</v>
      </c>
      <c r="C20" s="372">
        <v>-1754000</v>
      </c>
      <c r="D20" s="372">
        <v>3063000</v>
      </c>
      <c r="E20" s="372">
        <v>0</v>
      </c>
      <c r="F20" s="372">
        <v>5669000</v>
      </c>
      <c r="G20" s="372"/>
      <c r="H20" s="372">
        <v>-2129000</v>
      </c>
      <c r="I20" s="372"/>
      <c r="J20" s="372">
        <v>13533000</v>
      </c>
      <c r="K20" s="372">
        <f t="shared" si="4"/>
        <v>-4511000</v>
      </c>
      <c r="L20" s="373">
        <v>17898000</v>
      </c>
      <c r="M20" s="373">
        <f t="shared" si="4"/>
        <v>-5966000</v>
      </c>
      <c r="N20" s="374">
        <v>-43000</v>
      </c>
      <c r="O20" s="372">
        <v>-353000</v>
      </c>
      <c r="P20" s="372">
        <v>191000</v>
      </c>
      <c r="Q20" s="372">
        <v>0</v>
      </c>
      <c r="R20" s="372">
        <v>-64000</v>
      </c>
      <c r="S20" s="372">
        <v>810000</v>
      </c>
      <c r="T20" s="372">
        <f t="shared" si="5"/>
        <v>-270000</v>
      </c>
      <c r="U20" s="373">
        <v>1074000</v>
      </c>
      <c r="V20" s="375">
        <f t="shared" si="5"/>
        <v>-358000</v>
      </c>
      <c r="W20" s="372">
        <f t="shared" si="0"/>
        <v>584000</v>
      </c>
      <c r="X20" s="372">
        <f t="shared" si="0"/>
        <v>-2107000</v>
      </c>
      <c r="Y20" s="372">
        <f t="shared" si="0"/>
        <v>3254000</v>
      </c>
      <c r="Z20" s="372">
        <f t="shared" si="1"/>
        <v>5669000</v>
      </c>
      <c r="AA20" s="372">
        <f t="shared" si="2"/>
        <v>0</v>
      </c>
      <c r="AB20" s="372">
        <f t="shared" si="3"/>
        <v>-2193000</v>
      </c>
      <c r="AC20" s="372">
        <f t="shared" si="6"/>
        <v>14343000</v>
      </c>
      <c r="AD20" s="372">
        <f t="shared" si="6"/>
        <v>-4781000</v>
      </c>
      <c r="AE20" s="373">
        <f t="shared" si="6"/>
        <v>18972000</v>
      </c>
      <c r="AF20" s="373">
        <f t="shared" si="6"/>
        <v>-6324000</v>
      </c>
      <c r="AG20" s="376">
        <f t="shared" si="7"/>
        <v>40715000</v>
      </c>
      <c r="AH20" s="373">
        <f t="shared" si="8"/>
        <v>-13298000</v>
      </c>
      <c r="AI20" s="375">
        <f t="shared" si="9"/>
        <v>27417000</v>
      </c>
    </row>
    <row r="21" spans="1:35">
      <c r="A21" s="371" t="s">
        <v>12</v>
      </c>
      <c r="B21" s="372">
        <v>-22000</v>
      </c>
      <c r="C21" s="372">
        <v>154000</v>
      </c>
      <c r="D21" s="372">
        <v>2055000</v>
      </c>
      <c r="E21" s="372">
        <v>0</v>
      </c>
      <c r="F21" s="372">
        <v>1285000</v>
      </c>
      <c r="G21" s="372"/>
      <c r="H21" s="372">
        <v>-945000</v>
      </c>
      <c r="I21" s="372"/>
      <c r="J21" s="372">
        <v>8815000</v>
      </c>
      <c r="K21" s="372">
        <f t="shared" si="4"/>
        <v>-2938000</v>
      </c>
      <c r="L21" s="373">
        <v>11666000</v>
      </c>
      <c r="M21" s="373">
        <f t="shared" si="4"/>
        <v>-3889000</v>
      </c>
      <c r="N21" s="374">
        <v>-807000</v>
      </c>
      <c r="O21" s="372">
        <v>-1000</v>
      </c>
      <c r="P21" s="372">
        <v>75000</v>
      </c>
      <c r="Q21" s="372">
        <v>0</v>
      </c>
      <c r="R21" s="372">
        <v>-25000</v>
      </c>
      <c r="S21" s="372">
        <v>320000</v>
      </c>
      <c r="T21" s="372">
        <f t="shared" si="5"/>
        <v>-107000</v>
      </c>
      <c r="U21" s="373">
        <v>422000</v>
      </c>
      <c r="V21" s="375">
        <f t="shared" si="5"/>
        <v>-141000</v>
      </c>
      <c r="W21" s="372">
        <f t="shared" si="0"/>
        <v>-829000</v>
      </c>
      <c r="X21" s="372">
        <f t="shared" si="0"/>
        <v>153000</v>
      </c>
      <c r="Y21" s="372">
        <f t="shared" si="0"/>
        <v>2130000</v>
      </c>
      <c r="Z21" s="372">
        <f t="shared" si="1"/>
        <v>1285000</v>
      </c>
      <c r="AA21" s="372">
        <f t="shared" si="2"/>
        <v>0</v>
      </c>
      <c r="AB21" s="372">
        <f t="shared" si="3"/>
        <v>-970000</v>
      </c>
      <c r="AC21" s="372">
        <f t="shared" si="6"/>
        <v>9135000</v>
      </c>
      <c r="AD21" s="372">
        <f t="shared" si="6"/>
        <v>-3045000</v>
      </c>
      <c r="AE21" s="373">
        <f t="shared" si="6"/>
        <v>12088000</v>
      </c>
      <c r="AF21" s="373">
        <f t="shared" si="6"/>
        <v>-4030000</v>
      </c>
      <c r="AG21" s="376">
        <f t="shared" si="7"/>
        <v>23962000</v>
      </c>
      <c r="AH21" s="373">
        <f t="shared" si="8"/>
        <v>-8045000</v>
      </c>
      <c r="AI21" s="375">
        <f t="shared" si="9"/>
        <v>15917000</v>
      </c>
    </row>
    <row r="22" spans="1:35">
      <c r="A22" s="371" t="s">
        <v>13</v>
      </c>
      <c r="B22" s="372">
        <v>-345000</v>
      </c>
      <c r="C22" s="372">
        <v>-705000</v>
      </c>
      <c r="D22" s="372">
        <v>2552000</v>
      </c>
      <c r="E22" s="372">
        <v>0</v>
      </c>
      <c r="F22" s="372">
        <v>0</v>
      </c>
      <c r="G22" s="372"/>
      <c r="H22" s="372">
        <v>-851000</v>
      </c>
      <c r="I22" s="372"/>
      <c r="J22" s="372">
        <v>10792000</v>
      </c>
      <c r="K22" s="372">
        <f t="shared" si="4"/>
        <v>-3597000</v>
      </c>
      <c r="L22" s="373">
        <v>14279000</v>
      </c>
      <c r="M22" s="373">
        <f t="shared" si="4"/>
        <v>-4760000</v>
      </c>
      <c r="N22" s="374">
        <v>81000</v>
      </c>
      <c r="O22" s="372">
        <v>-103000</v>
      </c>
      <c r="P22" s="372">
        <v>68000</v>
      </c>
      <c r="Q22" s="372">
        <v>0</v>
      </c>
      <c r="R22" s="372">
        <v>-23000</v>
      </c>
      <c r="S22" s="372">
        <v>287000</v>
      </c>
      <c r="T22" s="372">
        <f t="shared" si="5"/>
        <v>-96000</v>
      </c>
      <c r="U22" s="373">
        <v>380000</v>
      </c>
      <c r="V22" s="375">
        <f t="shared" si="5"/>
        <v>-127000</v>
      </c>
      <c r="W22" s="372">
        <f t="shared" si="0"/>
        <v>-264000</v>
      </c>
      <c r="X22" s="372">
        <f t="shared" si="0"/>
        <v>-808000</v>
      </c>
      <c r="Y22" s="372">
        <f t="shared" si="0"/>
        <v>2620000</v>
      </c>
      <c r="Z22" s="372">
        <f t="shared" si="1"/>
        <v>0</v>
      </c>
      <c r="AA22" s="372">
        <f t="shared" si="2"/>
        <v>0</v>
      </c>
      <c r="AB22" s="372">
        <f t="shared" si="3"/>
        <v>-874000</v>
      </c>
      <c r="AC22" s="372">
        <f t="shared" si="6"/>
        <v>11079000</v>
      </c>
      <c r="AD22" s="372">
        <f t="shared" si="6"/>
        <v>-3693000</v>
      </c>
      <c r="AE22" s="373">
        <f t="shared" si="6"/>
        <v>14659000</v>
      </c>
      <c r="AF22" s="373">
        <f t="shared" si="6"/>
        <v>-4887000</v>
      </c>
      <c r="AG22" s="376">
        <f t="shared" si="7"/>
        <v>27286000</v>
      </c>
      <c r="AH22" s="373">
        <f t="shared" si="8"/>
        <v>-9454000</v>
      </c>
      <c r="AI22" s="375">
        <f t="shared" si="9"/>
        <v>17832000</v>
      </c>
    </row>
    <row r="23" spans="1:35">
      <c r="A23" s="371" t="s">
        <v>14</v>
      </c>
      <c r="B23" s="372">
        <v>-535000</v>
      </c>
      <c r="C23" s="372">
        <v>-946000</v>
      </c>
      <c r="D23" s="372">
        <v>1657000</v>
      </c>
      <c r="E23" s="372">
        <v>0</v>
      </c>
      <c r="F23" s="372">
        <v>894000</v>
      </c>
      <c r="G23" s="372"/>
      <c r="H23" s="372">
        <v>-734000</v>
      </c>
      <c r="I23" s="372"/>
      <c r="J23" s="372">
        <v>7093000</v>
      </c>
      <c r="K23" s="372">
        <f t="shared" si="4"/>
        <v>-2364000</v>
      </c>
      <c r="L23" s="373">
        <v>9380000</v>
      </c>
      <c r="M23" s="373">
        <f t="shared" si="4"/>
        <v>-3127000</v>
      </c>
      <c r="N23" s="374">
        <v>192000</v>
      </c>
      <c r="O23" s="372">
        <v>-247000</v>
      </c>
      <c r="P23" s="372">
        <v>63000</v>
      </c>
      <c r="Q23" s="372">
        <v>0</v>
      </c>
      <c r="R23" s="372">
        <v>-21000</v>
      </c>
      <c r="S23" s="372">
        <v>257000</v>
      </c>
      <c r="T23" s="372">
        <f t="shared" si="5"/>
        <v>-86000</v>
      </c>
      <c r="U23" s="373">
        <v>341000</v>
      </c>
      <c r="V23" s="375">
        <f t="shared" si="5"/>
        <v>-114000</v>
      </c>
      <c r="W23" s="372">
        <f t="shared" si="0"/>
        <v>-343000</v>
      </c>
      <c r="X23" s="372">
        <f t="shared" si="0"/>
        <v>-1193000</v>
      </c>
      <c r="Y23" s="372">
        <f t="shared" si="0"/>
        <v>1720000</v>
      </c>
      <c r="Z23" s="372">
        <f t="shared" si="1"/>
        <v>894000</v>
      </c>
      <c r="AA23" s="372">
        <f t="shared" si="2"/>
        <v>0</v>
      </c>
      <c r="AB23" s="372">
        <f t="shared" si="3"/>
        <v>-755000</v>
      </c>
      <c r="AC23" s="372">
        <f t="shared" si="6"/>
        <v>7350000</v>
      </c>
      <c r="AD23" s="372">
        <f t="shared" si="6"/>
        <v>-2450000</v>
      </c>
      <c r="AE23" s="373">
        <f t="shared" si="6"/>
        <v>9721000</v>
      </c>
      <c r="AF23" s="373">
        <f t="shared" si="6"/>
        <v>-3241000</v>
      </c>
      <c r="AG23" s="376">
        <f t="shared" si="7"/>
        <v>18149000</v>
      </c>
      <c r="AH23" s="373">
        <f t="shared" si="8"/>
        <v>-6446000</v>
      </c>
      <c r="AI23" s="375">
        <f t="shared" si="9"/>
        <v>11703000</v>
      </c>
    </row>
    <row r="24" spans="1:35">
      <c r="A24" s="371" t="s">
        <v>15</v>
      </c>
      <c r="B24" s="372">
        <v>342000</v>
      </c>
      <c r="C24" s="372">
        <v>0</v>
      </c>
      <c r="D24" s="372">
        <v>2856000</v>
      </c>
      <c r="E24" s="372">
        <v>1008000</v>
      </c>
      <c r="F24" s="372">
        <v>-3733000</v>
      </c>
      <c r="G24" s="372"/>
      <c r="H24" s="372">
        <v>-517000</v>
      </c>
      <c r="I24" s="372"/>
      <c r="J24" s="372">
        <v>11716000</v>
      </c>
      <c r="K24" s="372">
        <f t="shared" si="4"/>
        <v>-3905000</v>
      </c>
      <c r="L24" s="373">
        <v>15526000</v>
      </c>
      <c r="M24" s="373">
        <f t="shared" si="4"/>
        <v>-5175000</v>
      </c>
      <c r="N24" s="374">
        <v>-429000</v>
      </c>
      <c r="O24" s="372">
        <v>0</v>
      </c>
      <c r="P24" s="372">
        <v>212000</v>
      </c>
      <c r="Q24" s="372">
        <v>66000</v>
      </c>
      <c r="R24" s="372">
        <v>-93000</v>
      </c>
      <c r="S24" s="372">
        <v>893000</v>
      </c>
      <c r="T24" s="372">
        <f t="shared" si="5"/>
        <v>-298000</v>
      </c>
      <c r="U24" s="373">
        <v>1181000</v>
      </c>
      <c r="V24" s="375">
        <f t="shared" si="5"/>
        <v>-394000</v>
      </c>
      <c r="W24" s="372">
        <f t="shared" si="0"/>
        <v>-87000</v>
      </c>
      <c r="X24" s="372">
        <f t="shared" si="0"/>
        <v>0</v>
      </c>
      <c r="Y24" s="372">
        <f t="shared" si="0"/>
        <v>3068000</v>
      </c>
      <c r="Z24" s="372">
        <f t="shared" si="1"/>
        <v>-3733000</v>
      </c>
      <c r="AA24" s="372">
        <f t="shared" si="2"/>
        <v>1074000</v>
      </c>
      <c r="AB24" s="372">
        <f t="shared" si="3"/>
        <v>-610000</v>
      </c>
      <c r="AC24" s="372">
        <f t="shared" si="6"/>
        <v>12609000</v>
      </c>
      <c r="AD24" s="372">
        <f t="shared" si="6"/>
        <v>-4203000</v>
      </c>
      <c r="AE24" s="373">
        <f t="shared" si="6"/>
        <v>16707000</v>
      </c>
      <c r="AF24" s="373">
        <f t="shared" si="6"/>
        <v>-5569000</v>
      </c>
      <c r="AG24" s="376">
        <f t="shared" si="7"/>
        <v>29638000</v>
      </c>
      <c r="AH24" s="373">
        <f t="shared" si="8"/>
        <v>-10382000</v>
      </c>
      <c r="AI24" s="375">
        <f t="shared" si="9"/>
        <v>19256000</v>
      </c>
    </row>
    <row r="25" spans="1:35">
      <c r="A25" s="371" t="s">
        <v>16</v>
      </c>
      <c r="B25" s="372">
        <v>509000</v>
      </c>
      <c r="C25" s="372">
        <v>-2340000</v>
      </c>
      <c r="D25" s="372">
        <v>2633000</v>
      </c>
      <c r="E25" s="372">
        <v>0</v>
      </c>
      <c r="F25" s="372">
        <v>4005000</v>
      </c>
      <c r="G25" s="372"/>
      <c r="H25" s="372">
        <v>-1680000</v>
      </c>
      <c r="I25" s="372"/>
      <c r="J25" s="372">
        <v>11550000</v>
      </c>
      <c r="K25" s="372">
        <f t="shared" si="4"/>
        <v>-3850000</v>
      </c>
      <c r="L25" s="373">
        <v>15279000</v>
      </c>
      <c r="M25" s="373">
        <f t="shared" si="4"/>
        <v>-5093000</v>
      </c>
      <c r="N25" s="374">
        <v>-317000</v>
      </c>
      <c r="O25" s="372">
        <v>-812000</v>
      </c>
      <c r="P25" s="372">
        <v>209000</v>
      </c>
      <c r="Q25" s="372">
        <v>0</v>
      </c>
      <c r="R25" s="372">
        <v>-70000</v>
      </c>
      <c r="S25" s="372">
        <v>885000</v>
      </c>
      <c r="T25" s="372">
        <f>-ROUND(S25/3,-3)+1000</f>
        <v>-294000</v>
      </c>
      <c r="U25" s="373">
        <v>1171000</v>
      </c>
      <c r="V25" s="375">
        <f>-ROUND(U25/3,-3)</f>
        <v>-390000</v>
      </c>
      <c r="W25" s="372">
        <f t="shared" si="0"/>
        <v>192000</v>
      </c>
      <c r="X25" s="372">
        <f t="shared" si="0"/>
        <v>-3152000</v>
      </c>
      <c r="Y25" s="372">
        <f t="shared" si="0"/>
        <v>2842000</v>
      </c>
      <c r="Z25" s="372">
        <f t="shared" si="1"/>
        <v>4005000</v>
      </c>
      <c r="AA25" s="372">
        <f t="shared" si="2"/>
        <v>0</v>
      </c>
      <c r="AB25" s="372">
        <f t="shared" si="3"/>
        <v>-1750000</v>
      </c>
      <c r="AC25" s="372">
        <f t="shared" si="6"/>
        <v>12435000</v>
      </c>
      <c r="AD25" s="372">
        <f t="shared" si="6"/>
        <v>-4144000</v>
      </c>
      <c r="AE25" s="373">
        <f t="shared" si="6"/>
        <v>16450000</v>
      </c>
      <c r="AF25" s="373">
        <f t="shared" si="6"/>
        <v>-5483000</v>
      </c>
      <c r="AG25" s="376">
        <f t="shared" si="7"/>
        <v>32772000</v>
      </c>
      <c r="AH25" s="373">
        <f t="shared" si="8"/>
        <v>-11377000</v>
      </c>
      <c r="AI25" s="375">
        <f t="shared" si="9"/>
        <v>21395000</v>
      </c>
    </row>
    <row r="26" spans="1:35">
      <c r="A26" s="371" t="s">
        <v>17</v>
      </c>
      <c r="B26" s="372">
        <v>3473000</v>
      </c>
      <c r="C26" s="372">
        <v>-1454000</v>
      </c>
      <c r="D26" s="372">
        <v>2691000</v>
      </c>
      <c r="E26" s="372">
        <v>0</v>
      </c>
      <c r="F26" s="372">
        <v>-552000</v>
      </c>
      <c r="G26" s="372"/>
      <c r="H26" s="372">
        <v>-791000</v>
      </c>
      <c r="I26" s="372"/>
      <c r="J26" s="372">
        <v>11344000</v>
      </c>
      <c r="K26" s="372">
        <f t="shared" si="4"/>
        <v>-3781000</v>
      </c>
      <c r="L26" s="373">
        <v>14995000</v>
      </c>
      <c r="M26" s="373">
        <f t="shared" si="4"/>
        <v>-4998000</v>
      </c>
      <c r="N26" s="374">
        <v>-1822000</v>
      </c>
      <c r="O26" s="372">
        <v>-432000</v>
      </c>
      <c r="P26" s="372">
        <v>211000</v>
      </c>
      <c r="Q26" s="372">
        <v>0</v>
      </c>
      <c r="R26" s="372">
        <v>-70000</v>
      </c>
      <c r="S26" s="372">
        <v>896000</v>
      </c>
      <c r="T26" s="372">
        <f>-ROUND(S26/3,-3)</f>
        <v>-299000</v>
      </c>
      <c r="U26" s="373">
        <v>1182000</v>
      </c>
      <c r="V26" s="375">
        <f>-ROUND(U26/3,-3)</f>
        <v>-394000</v>
      </c>
      <c r="W26" s="372">
        <f t="shared" si="0"/>
        <v>1651000</v>
      </c>
      <c r="X26" s="372">
        <f t="shared" si="0"/>
        <v>-1886000</v>
      </c>
      <c r="Y26" s="372">
        <f t="shared" si="0"/>
        <v>2902000</v>
      </c>
      <c r="Z26" s="372">
        <f t="shared" si="1"/>
        <v>-552000</v>
      </c>
      <c r="AA26" s="372">
        <f t="shared" si="2"/>
        <v>0</v>
      </c>
      <c r="AB26" s="372">
        <f t="shared" si="3"/>
        <v>-861000</v>
      </c>
      <c r="AC26" s="372">
        <f t="shared" si="6"/>
        <v>12240000</v>
      </c>
      <c r="AD26" s="372">
        <f t="shared" si="6"/>
        <v>-4080000</v>
      </c>
      <c r="AE26" s="373">
        <f t="shared" si="6"/>
        <v>16177000</v>
      </c>
      <c r="AF26" s="373">
        <f t="shared" si="6"/>
        <v>-5392000</v>
      </c>
      <c r="AG26" s="376">
        <f t="shared" si="7"/>
        <v>30532000</v>
      </c>
      <c r="AH26" s="373">
        <f t="shared" si="8"/>
        <v>-10333000</v>
      </c>
      <c r="AI26" s="375">
        <f t="shared" si="9"/>
        <v>20199000</v>
      </c>
    </row>
    <row r="27" spans="1:35">
      <c r="A27" s="371" t="s">
        <v>18</v>
      </c>
      <c r="B27" s="372">
        <v>-1346000</v>
      </c>
      <c r="C27" s="372">
        <v>-1002000</v>
      </c>
      <c r="D27" s="372">
        <v>1761000</v>
      </c>
      <c r="E27" s="372">
        <v>0</v>
      </c>
      <c r="F27" s="372">
        <v>-2139000</v>
      </c>
      <c r="G27" s="372"/>
      <c r="H27" s="372">
        <v>-96000</v>
      </c>
      <c r="I27" s="372"/>
      <c r="J27" s="372">
        <v>7234000</v>
      </c>
      <c r="K27" s="372">
        <f>-ROUND((J27/3)/1000,0)*1000-1000</f>
        <v>-2412000</v>
      </c>
      <c r="L27" s="373">
        <v>9577000</v>
      </c>
      <c r="M27" s="373">
        <f>-ROUND((L27/3)/1000,0)*1000</f>
        <v>-3192000</v>
      </c>
      <c r="N27" s="374">
        <v>340000</v>
      </c>
      <c r="O27" s="372">
        <v>-101000</v>
      </c>
      <c r="P27" s="372">
        <v>86000</v>
      </c>
      <c r="Q27" s="372">
        <v>0</v>
      </c>
      <c r="R27" s="372">
        <v>-29000</v>
      </c>
      <c r="S27" s="372">
        <v>365000</v>
      </c>
      <c r="T27" s="372">
        <f t="shared" si="5"/>
        <v>-122000</v>
      </c>
      <c r="U27" s="373">
        <v>485000</v>
      </c>
      <c r="V27" s="375">
        <f t="shared" si="5"/>
        <v>-162000</v>
      </c>
      <c r="W27" s="372">
        <f t="shared" si="0"/>
        <v>-1006000</v>
      </c>
      <c r="X27" s="372">
        <f t="shared" si="0"/>
        <v>-1103000</v>
      </c>
      <c r="Y27" s="372">
        <f t="shared" si="0"/>
        <v>1847000</v>
      </c>
      <c r="Z27" s="372">
        <f t="shared" si="1"/>
        <v>-2139000</v>
      </c>
      <c r="AA27" s="372">
        <f t="shared" si="2"/>
        <v>0</v>
      </c>
      <c r="AB27" s="372">
        <f t="shared" si="3"/>
        <v>-125000</v>
      </c>
      <c r="AC27" s="372">
        <f t="shared" si="6"/>
        <v>7599000</v>
      </c>
      <c r="AD27" s="372">
        <f t="shared" si="6"/>
        <v>-2534000</v>
      </c>
      <c r="AE27" s="373">
        <f t="shared" si="6"/>
        <v>10062000</v>
      </c>
      <c r="AF27" s="373">
        <f t="shared" si="6"/>
        <v>-3354000</v>
      </c>
      <c r="AG27" s="376">
        <f t="shared" si="7"/>
        <v>15260000</v>
      </c>
      <c r="AH27" s="373">
        <f t="shared" si="8"/>
        <v>-6013000</v>
      </c>
      <c r="AI27" s="375">
        <f>AG27+AH27</f>
        <v>9247000</v>
      </c>
    </row>
    <row r="28" spans="1:35">
      <c r="A28" s="371" t="s">
        <v>19</v>
      </c>
      <c r="B28" s="372">
        <v>1675000</v>
      </c>
      <c r="C28" s="372">
        <v>-346000</v>
      </c>
      <c r="D28" s="372">
        <v>893000</v>
      </c>
      <c r="E28" s="372">
        <v>0</v>
      </c>
      <c r="F28" s="372">
        <v>1887000</v>
      </c>
      <c r="G28" s="372"/>
      <c r="H28" s="372">
        <v>-664000</v>
      </c>
      <c r="I28" s="372"/>
      <c r="J28" s="372">
        <v>3964000</v>
      </c>
      <c r="K28" s="372">
        <f t="shared" si="4"/>
        <v>-1321000</v>
      </c>
      <c r="L28" s="373">
        <v>5248000</v>
      </c>
      <c r="M28" s="373">
        <f t="shared" si="4"/>
        <v>-1749000</v>
      </c>
      <c r="N28" s="374">
        <v>68000</v>
      </c>
      <c r="O28" s="372">
        <v>-9000</v>
      </c>
      <c r="P28" s="372">
        <v>14000</v>
      </c>
      <c r="Q28" s="372">
        <v>0</v>
      </c>
      <c r="R28" s="372">
        <v>-5000</v>
      </c>
      <c r="S28" s="372">
        <v>56000</v>
      </c>
      <c r="T28" s="372">
        <f t="shared" si="5"/>
        <v>-19000</v>
      </c>
      <c r="U28" s="373">
        <v>78000</v>
      </c>
      <c r="V28" s="375">
        <f t="shared" si="5"/>
        <v>-26000</v>
      </c>
      <c r="W28" s="372">
        <f t="shared" si="0"/>
        <v>1743000</v>
      </c>
      <c r="X28" s="372">
        <f t="shared" si="0"/>
        <v>-355000</v>
      </c>
      <c r="Y28" s="372">
        <f t="shared" si="0"/>
        <v>907000</v>
      </c>
      <c r="Z28" s="372">
        <f t="shared" si="1"/>
        <v>1887000</v>
      </c>
      <c r="AA28" s="372">
        <f t="shared" si="2"/>
        <v>0</v>
      </c>
      <c r="AB28" s="372">
        <f t="shared" si="3"/>
        <v>-669000</v>
      </c>
      <c r="AC28" s="372">
        <f t="shared" si="6"/>
        <v>4020000</v>
      </c>
      <c r="AD28" s="372">
        <f t="shared" si="6"/>
        <v>-1340000</v>
      </c>
      <c r="AE28" s="373">
        <f t="shared" si="6"/>
        <v>5326000</v>
      </c>
      <c r="AF28" s="373">
        <f t="shared" si="6"/>
        <v>-1775000</v>
      </c>
      <c r="AG28" s="376">
        <f t="shared" si="7"/>
        <v>13528000</v>
      </c>
      <c r="AH28" s="373">
        <f>AB28+AD28+AF28</f>
        <v>-3784000</v>
      </c>
      <c r="AI28" s="375">
        <f t="shared" si="9"/>
        <v>9744000</v>
      </c>
    </row>
    <row r="29" spans="1:35">
      <c r="A29" s="371" t="s">
        <v>20</v>
      </c>
      <c r="B29" s="372">
        <v>631000</v>
      </c>
      <c r="C29" s="372">
        <v>-241000</v>
      </c>
      <c r="D29" s="372">
        <v>824000</v>
      </c>
      <c r="E29" s="372">
        <v>0</v>
      </c>
      <c r="F29" s="372">
        <v>895000</v>
      </c>
      <c r="G29" s="372"/>
      <c r="H29" s="372">
        <v>-470000</v>
      </c>
      <c r="I29" s="372"/>
      <c r="J29" s="372">
        <v>3571000</v>
      </c>
      <c r="K29" s="372">
        <f t="shared" si="4"/>
        <v>-1190000</v>
      </c>
      <c r="L29" s="373">
        <v>4724000</v>
      </c>
      <c r="M29" s="373">
        <f t="shared" si="4"/>
        <v>-1575000</v>
      </c>
      <c r="N29" s="374">
        <v>-44000</v>
      </c>
      <c r="O29" s="372">
        <v>-2000</v>
      </c>
      <c r="P29" s="372">
        <v>10000</v>
      </c>
      <c r="Q29" s="372">
        <v>0</v>
      </c>
      <c r="R29" s="372">
        <v>-3000</v>
      </c>
      <c r="S29" s="372">
        <v>40000</v>
      </c>
      <c r="T29" s="372">
        <f t="shared" si="5"/>
        <v>-13000</v>
      </c>
      <c r="U29" s="373">
        <v>57000</v>
      </c>
      <c r="V29" s="375">
        <f t="shared" si="5"/>
        <v>-19000</v>
      </c>
      <c r="W29" s="372">
        <f t="shared" si="0"/>
        <v>587000</v>
      </c>
      <c r="X29" s="372">
        <f t="shared" si="0"/>
        <v>-243000</v>
      </c>
      <c r="Y29" s="372">
        <f t="shared" si="0"/>
        <v>834000</v>
      </c>
      <c r="Z29" s="372">
        <f t="shared" si="1"/>
        <v>895000</v>
      </c>
      <c r="AA29" s="372">
        <f t="shared" si="2"/>
        <v>0</v>
      </c>
      <c r="AB29" s="372">
        <f t="shared" si="3"/>
        <v>-473000</v>
      </c>
      <c r="AC29" s="372">
        <f t="shared" si="6"/>
        <v>3611000</v>
      </c>
      <c r="AD29" s="372">
        <f t="shared" si="6"/>
        <v>-1203000</v>
      </c>
      <c r="AE29" s="373">
        <f t="shared" si="6"/>
        <v>4781000</v>
      </c>
      <c r="AF29" s="373">
        <f t="shared" si="6"/>
        <v>-1594000</v>
      </c>
      <c r="AG29" s="376">
        <f t="shared" si="7"/>
        <v>10465000</v>
      </c>
      <c r="AH29" s="373">
        <f t="shared" si="8"/>
        <v>-3270000</v>
      </c>
      <c r="AI29" s="375">
        <f t="shared" si="9"/>
        <v>7195000</v>
      </c>
    </row>
    <row r="30" spans="1:35">
      <c r="A30" s="371" t="s">
        <v>21</v>
      </c>
      <c r="B30" s="372">
        <v>-453000</v>
      </c>
      <c r="C30" s="372">
        <v>-659000</v>
      </c>
      <c r="D30" s="372">
        <v>746000</v>
      </c>
      <c r="E30" s="372">
        <v>0</v>
      </c>
      <c r="F30" s="372">
        <v>-715000</v>
      </c>
      <c r="G30" s="372"/>
      <c r="H30" s="372">
        <v>-86000</v>
      </c>
      <c r="I30" s="372"/>
      <c r="J30" s="372">
        <v>3101000</v>
      </c>
      <c r="K30" s="372">
        <f t="shared" si="4"/>
        <v>-1034000</v>
      </c>
      <c r="L30" s="373">
        <v>4101000</v>
      </c>
      <c r="M30" s="373">
        <f t="shared" si="4"/>
        <v>-1367000</v>
      </c>
      <c r="N30" s="374">
        <v>136000</v>
      </c>
      <c r="O30" s="372">
        <v>-18000</v>
      </c>
      <c r="P30" s="372">
        <v>11000</v>
      </c>
      <c r="Q30" s="372">
        <v>0</v>
      </c>
      <c r="R30" s="372">
        <v>-4000</v>
      </c>
      <c r="S30" s="372">
        <v>52000</v>
      </c>
      <c r="T30" s="372">
        <f t="shared" si="5"/>
        <v>-17000</v>
      </c>
      <c r="U30" s="373">
        <v>68000</v>
      </c>
      <c r="V30" s="375">
        <f t="shared" si="5"/>
        <v>-23000</v>
      </c>
      <c r="W30" s="372">
        <f t="shared" si="0"/>
        <v>-317000</v>
      </c>
      <c r="X30" s="372">
        <f t="shared" si="0"/>
        <v>-677000</v>
      </c>
      <c r="Y30" s="372">
        <f t="shared" si="0"/>
        <v>757000</v>
      </c>
      <c r="Z30" s="372">
        <f t="shared" si="1"/>
        <v>-715000</v>
      </c>
      <c r="AA30" s="372">
        <f t="shared" si="2"/>
        <v>0</v>
      </c>
      <c r="AB30" s="372">
        <f t="shared" si="3"/>
        <v>-90000</v>
      </c>
      <c r="AC30" s="372">
        <f t="shared" si="6"/>
        <v>3153000</v>
      </c>
      <c r="AD30" s="372">
        <f t="shared" si="6"/>
        <v>-1051000</v>
      </c>
      <c r="AE30" s="373">
        <f t="shared" si="6"/>
        <v>4169000</v>
      </c>
      <c r="AF30" s="373">
        <f t="shared" si="6"/>
        <v>-1390000</v>
      </c>
      <c r="AG30" s="376">
        <f t="shared" si="7"/>
        <v>6370000</v>
      </c>
      <c r="AH30" s="373">
        <f>AB30+AD30+AF30</f>
        <v>-2531000</v>
      </c>
      <c r="AI30" s="375">
        <f>AG30+AH30</f>
        <v>3839000</v>
      </c>
    </row>
    <row r="31" spans="1:35" ht="6" customHeight="1">
      <c r="A31" s="371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3"/>
      <c r="M31" s="373"/>
      <c r="N31" s="374"/>
      <c r="O31" s="372"/>
      <c r="P31" s="372"/>
      <c r="Q31" s="372"/>
      <c r="R31" s="372"/>
      <c r="S31" s="372"/>
      <c r="T31" s="372"/>
      <c r="U31" s="373"/>
      <c r="V31" s="375"/>
      <c r="W31" s="372"/>
      <c r="X31" s="372"/>
      <c r="Y31" s="372"/>
      <c r="Z31" s="372"/>
      <c r="AA31" s="372"/>
      <c r="AB31" s="372"/>
      <c r="AC31" s="372"/>
      <c r="AD31" s="372"/>
      <c r="AE31" s="373"/>
      <c r="AF31" s="375"/>
      <c r="AG31" s="376"/>
      <c r="AH31" s="373"/>
      <c r="AI31" s="377"/>
    </row>
    <row r="32" spans="1:35">
      <c r="A32" s="378" t="s">
        <v>22</v>
      </c>
      <c r="B32" s="379">
        <f>SUM(B8:B30)</f>
        <v>3089000</v>
      </c>
      <c r="C32" s="379">
        <f>SUM(C8:C30)</f>
        <v>-16364000</v>
      </c>
      <c r="D32" s="379">
        <f>SUM(D8:D30)</f>
        <v>38159000</v>
      </c>
      <c r="E32" s="379">
        <f>SUM(E8:E30)</f>
        <v>2916000</v>
      </c>
      <c r="F32" s="379">
        <f>SUM(F8:F30)</f>
        <v>29093000</v>
      </c>
      <c r="G32" s="379"/>
      <c r="H32" s="379">
        <f>SUM(H8:H30)</f>
        <v>-19545000</v>
      </c>
      <c r="I32" s="379"/>
      <c r="J32" s="379">
        <f t="shared" ref="J32:AI32" si="10">SUM(J8:J30)</f>
        <v>164374000</v>
      </c>
      <c r="K32" s="379">
        <f t="shared" si="10"/>
        <v>-54791000</v>
      </c>
      <c r="L32" s="380">
        <v>217429000</v>
      </c>
      <c r="M32" s="380">
        <f t="shared" si="10"/>
        <v>-72477000</v>
      </c>
      <c r="N32" s="381">
        <f t="shared" si="10"/>
        <v>-4056000</v>
      </c>
      <c r="O32" s="379">
        <f t="shared" si="10"/>
        <v>-2908000</v>
      </c>
      <c r="P32" s="379">
        <f t="shared" si="10"/>
        <v>1802000</v>
      </c>
      <c r="Q32" s="379">
        <f t="shared" si="10"/>
        <v>188000</v>
      </c>
      <c r="R32" s="379">
        <f t="shared" si="10"/>
        <v>-665000</v>
      </c>
      <c r="S32" s="379">
        <f t="shared" si="10"/>
        <v>7622000</v>
      </c>
      <c r="T32" s="379">
        <f t="shared" si="10"/>
        <v>-2540000</v>
      </c>
      <c r="U32" s="380">
        <f t="shared" si="10"/>
        <v>10094000</v>
      </c>
      <c r="V32" s="382">
        <f t="shared" si="10"/>
        <v>-3365000</v>
      </c>
      <c r="W32" s="379">
        <f t="shared" si="10"/>
        <v>-967000</v>
      </c>
      <c r="X32" s="379">
        <f t="shared" si="10"/>
        <v>-19272000</v>
      </c>
      <c r="Y32" s="379">
        <f t="shared" si="10"/>
        <v>39961000</v>
      </c>
      <c r="Z32" s="379">
        <f t="shared" si="10"/>
        <v>29093000</v>
      </c>
      <c r="AA32" s="379">
        <f t="shared" si="10"/>
        <v>3104000</v>
      </c>
      <c r="AB32" s="379">
        <f t="shared" si="10"/>
        <v>-20210000</v>
      </c>
      <c r="AC32" s="379">
        <f>SUM(AC8:AC30)</f>
        <v>171996000</v>
      </c>
      <c r="AD32" s="379">
        <f>SUM(AD8:AD30)</f>
        <v>-57331000</v>
      </c>
      <c r="AE32" s="380">
        <f>SUM(AE8:AE30)</f>
        <v>227523000</v>
      </c>
      <c r="AF32" s="382">
        <f t="shared" si="10"/>
        <v>-75842000</v>
      </c>
      <c r="AG32" s="383">
        <f t="shared" si="10"/>
        <v>451438000</v>
      </c>
      <c r="AH32" s="380">
        <f t="shared" si="10"/>
        <v>-153383000</v>
      </c>
      <c r="AI32" s="382">
        <f t="shared" si="10"/>
        <v>298055000</v>
      </c>
    </row>
    <row r="33" spans="1:35" ht="6" customHeight="1">
      <c r="A33" s="38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6"/>
      <c r="M33" s="366"/>
      <c r="N33" s="368"/>
      <c r="O33" s="364"/>
      <c r="P33" s="364"/>
      <c r="Q33" s="364"/>
      <c r="R33" s="364"/>
      <c r="S33" s="364"/>
      <c r="T33" s="364"/>
      <c r="U33" s="366"/>
      <c r="V33" s="369"/>
      <c r="W33" s="364"/>
      <c r="X33" s="364"/>
      <c r="Y33" s="364"/>
      <c r="Z33" s="364"/>
      <c r="AA33" s="364"/>
      <c r="AB33" s="364"/>
      <c r="AC33" s="364"/>
      <c r="AD33" s="364"/>
      <c r="AE33" s="366"/>
      <c r="AF33" s="369"/>
      <c r="AG33" s="370"/>
      <c r="AH33" s="366"/>
      <c r="AI33" s="377"/>
    </row>
    <row r="34" spans="1:35">
      <c r="A34" s="363" t="s">
        <v>23</v>
      </c>
      <c r="B34" s="372">
        <v>0</v>
      </c>
      <c r="C34" s="372">
        <v>0</v>
      </c>
      <c r="D34" s="372">
        <v>0</v>
      </c>
      <c r="E34" s="372">
        <v>0</v>
      </c>
      <c r="F34" s="372">
        <v>0</v>
      </c>
      <c r="G34" s="372"/>
      <c r="H34" s="372">
        <v>0</v>
      </c>
      <c r="I34" s="372"/>
      <c r="J34" s="372">
        <v>0</v>
      </c>
      <c r="K34" s="385">
        <f>-ROUND((J34/3)/1000,0)*1000</f>
        <v>0</v>
      </c>
      <c r="L34" s="373">
        <v>0</v>
      </c>
      <c r="M34" s="386">
        <f>-ROUND((J34/3)/1000,0)*1000</f>
        <v>0</v>
      </c>
      <c r="N34" s="374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f>-ROUND(S34/3,-3)</f>
        <v>0</v>
      </c>
      <c r="U34" s="373">
        <f>-ROUND(T34/3,-3)</f>
        <v>0</v>
      </c>
      <c r="V34" s="375">
        <f>-ROUND(S34/3,-3)</f>
        <v>0</v>
      </c>
      <c r="W34" s="372">
        <f>B34+N34</f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f>H34+R34</f>
        <v>0</v>
      </c>
      <c r="AC34" s="372">
        <f>J34+S34</f>
        <v>0</v>
      </c>
      <c r="AD34" s="372">
        <f t="shared" ref="AD34:AF38" si="11">K34+T34</f>
        <v>0</v>
      </c>
      <c r="AE34" s="373">
        <f t="shared" si="11"/>
        <v>0</v>
      </c>
      <c r="AF34" s="373">
        <f t="shared" si="11"/>
        <v>0</v>
      </c>
      <c r="AG34" s="376">
        <f t="shared" ref="AG34:AG38" si="12">W34+X34+Z34+AA34+AC34+Y34+AE34</f>
        <v>0</v>
      </c>
      <c r="AH34" s="373">
        <f t="shared" ref="AH34:AH38" si="13">AB34+AD34+AF34</f>
        <v>0</v>
      </c>
      <c r="AI34" s="375">
        <f>AG34+AH34</f>
        <v>0</v>
      </c>
    </row>
    <row r="35" spans="1:35">
      <c r="A35" s="371" t="s">
        <v>30</v>
      </c>
      <c r="B35" s="372">
        <v>131000</v>
      </c>
      <c r="C35" s="372">
        <v>0</v>
      </c>
      <c r="D35" s="372">
        <v>86000</v>
      </c>
      <c r="E35" s="372">
        <v>130000</v>
      </c>
      <c r="F35" s="372">
        <v>-372000</v>
      </c>
      <c r="G35" s="372"/>
      <c r="H35" s="372">
        <v>0</v>
      </c>
      <c r="I35" s="372"/>
      <c r="J35" s="372">
        <f>360000-38000</f>
        <v>322000</v>
      </c>
      <c r="K35" s="372">
        <v>0</v>
      </c>
      <c r="L35" s="373">
        <v>436000</v>
      </c>
      <c r="M35" s="373">
        <v>0</v>
      </c>
      <c r="N35" s="374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f>-ROUND(S35/3,-3)</f>
        <v>0</v>
      </c>
      <c r="U35" s="373">
        <v>0</v>
      </c>
      <c r="V35" s="375">
        <f>-ROUND(S35/3,-3)</f>
        <v>0</v>
      </c>
      <c r="W35" s="372">
        <f>B35+N35</f>
        <v>131000</v>
      </c>
      <c r="X35" s="372">
        <v>0</v>
      </c>
      <c r="Y35" s="372">
        <f>D35+P35</f>
        <v>86000</v>
      </c>
      <c r="Z35" s="372">
        <f>F35</f>
        <v>-372000</v>
      </c>
      <c r="AA35" s="372">
        <f>E35+Q35</f>
        <v>130000</v>
      </c>
      <c r="AB35" s="372">
        <f>H35+R35</f>
        <v>0</v>
      </c>
      <c r="AC35" s="372">
        <f>J35+S35</f>
        <v>322000</v>
      </c>
      <c r="AD35" s="372">
        <f t="shared" si="11"/>
        <v>0</v>
      </c>
      <c r="AE35" s="373">
        <f>L35+U35</f>
        <v>436000</v>
      </c>
      <c r="AF35" s="373">
        <f t="shared" si="11"/>
        <v>0</v>
      </c>
      <c r="AG35" s="376">
        <f t="shared" si="12"/>
        <v>733000</v>
      </c>
      <c r="AH35" s="373">
        <f t="shared" si="13"/>
        <v>0</v>
      </c>
      <c r="AI35" s="375">
        <f>AG35+AH35</f>
        <v>733000</v>
      </c>
    </row>
    <row r="36" spans="1:35">
      <c r="A36" s="371" t="s">
        <v>24</v>
      </c>
      <c r="B36" s="372">
        <v>-178000</v>
      </c>
      <c r="C36" s="372">
        <v>0</v>
      </c>
      <c r="D36" s="372">
        <v>49000</v>
      </c>
      <c r="E36" s="372">
        <v>35000</v>
      </c>
      <c r="F36" s="372">
        <v>-140000</v>
      </c>
      <c r="G36" s="372"/>
      <c r="H36" s="372">
        <v>0</v>
      </c>
      <c r="I36" s="372"/>
      <c r="J36" s="372">
        <v>189000</v>
      </c>
      <c r="K36" s="372">
        <v>0</v>
      </c>
      <c r="L36" s="373">
        <v>254000</v>
      </c>
      <c r="M36" s="373">
        <v>0</v>
      </c>
      <c r="N36" s="374">
        <v>-19000</v>
      </c>
      <c r="O36" s="372">
        <v>0</v>
      </c>
      <c r="P36" s="372">
        <v>1000</v>
      </c>
      <c r="Q36" s="372">
        <v>1000</v>
      </c>
      <c r="R36" s="372">
        <v>0</v>
      </c>
      <c r="S36" s="372">
        <v>2000</v>
      </c>
      <c r="T36" s="372">
        <v>0</v>
      </c>
      <c r="U36" s="373">
        <v>4000</v>
      </c>
      <c r="V36" s="375">
        <v>0</v>
      </c>
      <c r="W36" s="372">
        <f>B36+N36</f>
        <v>-197000</v>
      </c>
      <c r="X36" s="372">
        <v>0</v>
      </c>
      <c r="Y36" s="372">
        <f>D36+P36</f>
        <v>50000</v>
      </c>
      <c r="Z36" s="372">
        <f>F36</f>
        <v>-140000</v>
      </c>
      <c r="AA36" s="372">
        <f>E36+Q36</f>
        <v>36000</v>
      </c>
      <c r="AB36" s="372">
        <f>H36+R36</f>
        <v>0</v>
      </c>
      <c r="AC36" s="372">
        <f>J36+S36</f>
        <v>191000</v>
      </c>
      <c r="AD36" s="372">
        <f t="shared" si="11"/>
        <v>0</v>
      </c>
      <c r="AE36" s="373">
        <f t="shared" si="11"/>
        <v>258000</v>
      </c>
      <c r="AF36" s="373">
        <f t="shared" si="11"/>
        <v>0</v>
      </c>
      <c r="AG36" s="376">
        <f t="shared" si="12"/>
        <v>198000</v>
      </c>
      <c r="AH36" s="373">
        <f t="shared" si="13"/>
        <v>0</v>
      </c>
      <c r="AI36" s="375">
        <f t="shared" ref="AI36:AI38" si="14">AG36+AH36</f>
        <v>198000</v>
      </c>
    </row>
    <row r="37" spans="1:35">
      <c r="A37" s="371" t="s">
        <v>25</v>
      </c>
      <c r="B37" s="372">
        <v>12000</v>
      </c>
      <c r="C37" s="372">
        <v>0</v>
      </c>
      <c r="D37" s="372">
        <v>0</v>
      </c>
      <c r="E37" s="372">
        <v>49000</v>
      </c>
      <c r="F37" s="372">
        <v>0</v>
      </c>
      <c r="G37" s="372"/>
      <c r="H37" s="372">
        <v>0</v>
      </c>
      <c r="I37" s="372"/>
      <c r="J37" s="372">
        <v>0</v>
      </c>
      <c r="K37" s="372">
        <f>-ROUND((J37/3)/1000,0)*1000</f>
        <v>0</v>
      </c>
      <c r="L37" s="373">
        <v>0</v>
      </c>
      <c r="M37" s="373">
        <f>-ROUND((J37/3)/1000,0)*1000</f>
        <v>0</v>
      </c>
      <c r="N37" s="374">
        <v>-8000</v>
      </c>
      <c r="O37" s="372">
        <v>0</v>
      </c>
      <c r="P37" s="372">
        <v>0</v>
      </c>
      <c r="Q37" s="372">
        <v>4000</v>
      </c>
      <c r="R37" s="372">
        <v>0</v>
      </c>
      <c r="S37" s="372">
        <v>0</v>
      </c>
      <c r="T37" s="372">
        <f>-ROUND(S37/3,-3)</f>
        <v>0</v>
      </c>
      <c r="U37" s="373">
        <f>-ROUND(T37/3,-3)</f>
        <v>0</v>
      </c>
      <c r="V37" s="375">
        <f>-ROUND(S37/3,-3)</f>
        <v>0</v>
      </c>
      <c r="W37" s="372">
        <f>B37+N37</f>
        <v>4000</v>
      </c>
      <c r="X37" s="372">
        <v>0</v>
      </c>
      <c r="Y37" s="372">
        <f>D37+P37</f>
        <v>0</v>
      </c>
      <c r="Z37" s="372">
        <f>F37</f>
        <v>0</v>
      </c>
      <c r="AA37" s="372">
        <f>E37+Q37</f>
        <v>53000</v>
      </c>
      <c r="AB37" s="372">
        <f>H37+R37</f>
        <v>0</v>
      </c>
      <c r="AC37" s="372">
        <f>J37+S37</f>
        <v>0</v>
      </c>
      <c r="AD37" s="372">
        <f t="shared" si="11"/>
        <v>0</v>
      </c>
      <c r="AE37" s="373">
        <f t="shared" si="11"/>
        <v>0</v>
      </c>
      <c r="AF37" s="373">
        <f t="shared" si="11"/>
        <v>0</v>
      </c>
      <c r="AG37" s="376">
        <f t="shared" si="12"/>
        <v>57000</v>
      </c>
      <c r="AH37" s="373">
        <f t="shared" si="13"/>
        <v>0</v>
      </c>
      <c r="AI37" s="375">
        <f t="shared" si="14"/>
        <v>57000</v>
      </c>
    </row>
    <row r="38" spans="1:35" ht="16.5" customHeight="1">
      <c r="A38" s="387" t="s">
        <v>26</v>
      </c>
      <c r="B38" s="372">
        <v>0</v>
      </c>
      <c r="C38" s="372">
        <v>0</v>
      </c>
      <c r="D38" s="372">
        <v>0</v>
      </c>
      <c r="E38" s="372">
        <v>0</v>
      </c>
      <c r="F38" s="372">
        <v>0</v>
      </c>
      <c r="G38" s="372"/>
      <c r="H38" s="372">
        <v>0</v>
      </c>
      <c r="I38" s="372"/>
      <c r="J38" s="372">
        <v>0</v>
      </c>
      <c r="K38" s="385">
        <v>0</v>
      </c>
      <c r="L38" s="373">
        <v>0</v>
      </c>
      <c r="M38" s="386">
        <v>0</v>
      </c>
      <c r="N38" s="374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f>-ROUND(S38/3,-3)</f>
        <v>0</v>
      </c>
      <c r="U38" s="373">
        <f>-ROUND(T38/3,-3)</f>
        <v>0</v>
      </c>
      <c r="V38" s="375">
        <f>-ROUND(S38/3,-3)</f>
        <v>0</v>
      </c>
      <c r="W38" s="372">
        <f>B38+N38</f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f>J38+S38</f>
        <v>0</v>
      </c>
      <c r="AD38" s="372">
        <f t="shared" si="11"/>
        <v>0</v>
      </c>
      <c r="AE38" s="373">
        <f t="shared" si="11"/>
        <v>0</v>
      </c>
      <c r="AF38" s="373">
        <f t="shared" si="11"/>
        <v>0</v>
      </c>
      <c r="AG38" s="376">
        <f t="shared" si="12"/>
        <v>0</v>
      </c>
      <c r="AH38" s="373">
        <f t="shared" si="13"/>
        <v>0</v>
      </c>
      <c r="AI38" s="375">
        <f t="shared" si="14"/>
        <v>0</v>
      </c>
    </row>
    <row r="39" spans="1:35" ht="6" customHeight="1">
      <c r="A39" s="387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3"/>
      <c r="M39" s="386"/>
      <c r="N39" s="374"/>
      <c r="O39" s="372"/>
      <c r="P39" s="372"/>
      <c r="Q39" s="372"/>
      <c r="R39" s="372"/>
      <c r="S39" s="372"/>
      <c r="T39" s="372"/>
      <c r="U39" s="373"/>
      <c r="V39" s="375"/>
      <c r="W39" s="372"/>
      <c r="X39" s="372"/>
      <c r="Y39" s="372"/>
      <c r="Z39" s="372"/>
      <c r="AA39" s="372"/>
      <c r="AB39" s="372"/>
      <c r="AC39" s="372"/>
      <c r="AD39" s="372"/>
      <c r="AE39" s="373"/>
      <c r="AF39" s="375"/>
      <c r="AG39" s="388"/>
      <c r="AH39" s="389"/>
      <c r="AI39" s="390"/>
    </row>
    <row r="40" spans="1:35" ht="15.75" thickBot="1">
      <c r="A40" s="391" t="s">
        <v>39</v>
      </c>
      <c r="B40" s="392">
        <f>SUM(B32:B38)</f>
        <v>3054000</v>
      </c>
      <c r="C40" s="392">
        <f>SUM(C32:C38)</f>
        <v>-16364000</v>
      </c>
      <c r="D40" s="392">
        <f>SUM(D32:D38)</f>
        <v>38294000</v>
      </c>
      <c r="E40" s="392">
        <f>SUM(E32:E38)</f>
        <v>3130000</v>
      </c>
      <c r="F40" s="392">
        <f>SUM(F32:F38)</f>
        <v>28581000</v>
      </c>
      <c r="G40" s="392"/>
      <c r="H40" s="392">
        <f>SUM(H32:H38)</f>
        <v>-19545000</v>
      </c>
      <c r="I40" s="392"/>
      <c r="J40" s="392">
        <f t="shared" ref="J40:AE40" si="15">SUM(J32:J38)</f>
        <v>164885000</v>
      </c>
      <c r="K40" s="392">
        <f t="shared" si="15"/>
        <v>-54791000</v>
      </c>
      <c r="L40" s="393">
        <v>218119000</v>
      </c>
      <c r="M40" s="393">
        <f t="shared" si="15"/>
        <v>-72477000</v>
      </c>
      <c r="N40" s="394">
        <f t="shared" si="15"/>
        <v>-4083000</v>
      </c>
      <c r="O40" s="392">
        <f t="shared" si="15"/>
        <v>-2908000</v>
      </c>
      <c r="P40" s="392">
        <f t="shared" si="15"/>
        <v>1803000</v>
      </c>
      <c r="Q40" s="392">
        <f t="shared" si="15"/>
        <v>193000</v>
      </c>
      <c r="R40" s="392">
        <f t="shared" si="15"/>
        <v>-665000</v>
      </c>
      <c r="S40" s="392">
        <f t="shared" si="15"/>
        <v>7624000</v>
      </c>
      <c r="T40" s="392">
        <f t="shared" si="15"/>
        <v>-2540000</v>
      </c>
      <c r="U40" s="393">
        <f t="shared" si="15"/>
        <v>10098000</v>
      </c>
      <c r="V40" s="395">
        <f t="shared" si="15"/>
        <v>-3365000</v>
      </c>
      <c r="W40" s="392">
        <f t="shared" si="15"/>
        <v>-1029000</v>
      </c>
      <c r="X40" s="392">
        <f t="shared" si="15"/>
        <v>-19272000</v>
      </c>
      <c r="Y40" s="392">
        <f t="shared" si="15"/>
        <v>40097000</v>
      </c>
      <c r="Z40" s="392">
        <f t="shared" si="15"/>
        <v>28581000</v>
      </c>
      <c r="AA40" s="392">
        <f t="shared" si="15"/>
        <v>3323000</v>
      </c>
      <c r="AB40" s="392">
        <f t="shared" si="15"/>
        <v>-20210000</v>
      </c>
      <c r="AC40" s="392">
        <f t="shared" si="15"/>
        <v>172509000</v>
      </c>
      <c r="AD40" s="392">
        <f t="shared" si="15"/>
        <v>-57331000</v>
      </c>
      <c r="AE40" s="393">
        <f t="shared" si="15"/>
        <v>228217000</v>
      </c>
      <c r="AF40" s="395">
        <f>SUM(AF32:AF38)</f>
        <v>-75842000</v>
      </c>
      <c r="AG40" s="396">
        <f>SUM(AG32:AG38)</f>
        <v>452426000</v>
      </c>
      <c r="AH40" s="397">
        <f>SUM(AH32:AH38)</f>
        <v>-153383000</v>
      </c>
      <c r="AI40" s="398">
        <f>SUM(AI32:AI38)</f>
        <v>299043000</v>
      </c>
    </row>
    <row r="41" spans="1:35" ht="6" customHeight="1">
      <c r="AB41" s="365"/>
    </row>
    <row r="42" spans="1:35" ht="16.5" customHeight="1">
      <c r="B42" s="400" t="s">
        <v>78</v>
      </c>
      <c r="C42" s="400"/>
      <c r="D42" s="400"/>
      <c r="E42" s="401"/>
      <c r="F42" s="401"/>
      <c r="G42" s="401"/>
      <c r="H42" s="402"/>
      <c r="I42" s="403" t="s">
        <v>148</v>
      </c>
      <c r="J42" s="401"/>
      <c r="K42" s="401"/>
      <c r="M42" s="404"/>
      <c r="N42" s="401"/>
      <c r="O42" s="401"/>
      <c r="P42" s="401"/>
      <c r="Q42" s="401"/>
      <c r="R42" s="402"/>
      <c r="S42" s="401"/>
      <c r="T42" s="401"/>
      <c r="U42" s="405"/>
      <c r="V42" s="406"/>
      <c r="AB42" s="365"/>
      <c r="AC42" s="407"/>
      <c r="AD42" s="407"/>
      <c r="AE42" s="407"/>
      <c r="AI42" s="365"/>
    </row>
    <row r="43" spans="1:35" s="408" customFormat="1" ht="16.5" customHeight="1">
      <c r="B43" s="400" t="s">
        <v>182</v>
      </c>
      <c r="C43" s="400"/>
      <c r="D43" s="400"/>
      <c r="E43" s="409"/>
      <c r="F43" s="409"/>
      <c r="G43" s="409"/>
      <c r="H43" s="409"/>
      <c r="I43" s="401" t="s">
        <v>131</v>
      </c>
      <c r="J43" s="410"/>
      <c r="K43" s="410"/>
      <c r="M43" s="409"/>
      <c r="N43" s="410"/>
      <c r="O43" s="410"/>
      <c r="P43" s="410"/>
      <c r="Q43" s="410"/>
      <c r="R43" s="409"/>
      <c r="S43" s="410"/>
      <c r="T43" s="410"/>
      <c r="U43" s="411"/>
      <c r="V43" s="406"/>
      <c r="Y43" s="412"/>
      <c r="AA43" s="412"/>
      <c r="AC43" s="412"/>
      <c r="AD43" s="412"/>
      <c r="AE43" s="412"/>
      <c r="AH43" s="412"/>
    </row>
    <row r="44" spans="1:35" s="408" customFormat="1" ht="16.5" customHeight="1"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4"/>
      <c r="V44" s="415"/>
    </row>
    <row r="45" spans="1:35" s="408" customFormat="1" ht="16.5" customHeight="1">
      <c r="C45" s="401"/>
      <c r="D45" s="400"/>
      <c r="E45" s="409"/>
      <c r="F45" s="409"/>
      <c r="G45" s="409"/>
      <c r="H45" s="409"/>
      <c r="I45" s="409"/>
      <c r="J45" s="410"/>
      <c r="K45" s="410"/>
      <c r="L45" s="410"/>
      <c r="M45" s="409"/>
      <c r="N45" s="410"/>
      <c r="O45" s="410"/>
      <c r="P45" s="410"/>
      <c r="Q45" s="410"/>
      <c r="R45" s="409"/>
      <c r="S45" s="410"/>
      <c r="T45" s="410"/>
      <c r="U45" s="411"/>
      <c r="V45" s="405"/>
    </row>
    <row r="46" spans="1:35" s="416" customFormat="1" ht="18.75" customHeight="1">
      <c r="M46" s="417"/>
      <c r="U46" s="418"/>
      <c r="V46" s="418"/>
    </row>
    <row r="47" spans="1:35" s="416" customFormat="1" ht="18.75" customHeight="1"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9"/>
      <c r="Q47" s="417"/>
      <c r="R47" s="419"/>
      <c r="S47" s="417"/>
      <c r="T47" s="417"/>
      <c r="U47" s="420"/>
      <c r="V47" s="418"/>
      <c r="AA47" s="417"/>
      <c r="AC47" s="417"/>
      <c r="AD47" s="417"/>
      <c r="AE47" s="417"/>
      <c r="AG47" s="417"/>
    </row>
    <row r="48" spans="1:35">
      <c r="J48" s="407"/>
      <c r="K48" s="407"/>
      <c r="L48" s="407"/>
      <c r="M48" s="407"/>
    </row>
    <row r="49" spans="2:13"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</row>
  </sheetData>
  <mergeCells count="6">
    <mergeCell ref="AG4:AI4"/>
    <mergeCell ref="G6:I6"/>
    <mergeCell ref="B4:M4"/>
    <mergeCell ref="N4:S4"/>
    <mergeCell ref="T4:V4"/>
    <mergeCell ref="W4:AF4"/>
  </mergeCells>
  <pageMargins left="0.18" right="0.12" top="0.59" bottom="0.25" header="0.3" footer="0.3"/>
  <pageSetup paperSize="5" scale="58" fitToWidth="2" orientation="landscape" r:id="rId1"/>
  <headerFooter scaleWithDoc="0" alignWithMargins="0"/>
  <colBreaks count="1" manualBreakCount="1">
    <brk id="19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K13" sqref="K13"/>
    </sheetView>
  </sheetViews>
  <sheetFormatPr defaultColWidth="9.33203125" defaultRowHeight="12.75"/>
  <cols>
    <col min="1" max="1" width="28.1640625" style="145" customWidth="1"/>
    <col min="2" max="2" width="15.5" style="145" customWidth="1"/>
    <col min="3" max="3" width="1.83203125" style="143" customWidth="1"/>
    <col min="4" max="4" width="16.33203125" style="143" customWidth="1"/>
    <col min="5" max="5" width="17.83203125" style="143" customWidth="1"/>
    <col min="6" max="6" width="1.83203125" style="143" customWidth="1"/>
    <col min="7" max="7" width="11.83203125" style="143" customWidth="1"/>
    <col min="8" max="8" width="2.5" style="143" customWidth="1"/>
    <col min="9" max="9" width="14.6640625" style="144" bestFit="1" customWidth="1"/>
    <col min="10" max="10" width="14.1640625" style="145" customWidth="1"/>
    <col min="11" max="16384" width="9.33203125" style="145"/>
  </cols>
  <sheetData>
    <row r="1" spans="1:10" ht="15.75">
      <c r="A1" s="146" t="s">
        <v>156</v>
      </c>
      <c r="B1" s="142"/>
    </row>
    <row r="2" spans="1:10" ht="15.75">
      <c r="A2" s="146"/>
      <c r="B2" s="146"/>
      <c r="C2" s="147"/>
      <c r="D2" s="147"/>
      <c r="E2" s="147"/>
      <c r="F2" s="147"/>
      <c r="G2" s="147"/>
      <c r="H2" s="147"/>
      <c r="I2" s="148"/>
    </row>
    <row r="3" spans="1:10" ht="15.75" customHeight="1" thickBot="1">
      <c r="A3" s="150"/>
      <c r="B3" s="470" t="s">
        <v>65</v>
      </c>
      <c r="C3" s="470"/>
      <c r="D3" s="470"/>
      <c r="E3" s="470"/>
      <c r="F3" s="470"/>
      <c r="G3" s="149"/>
      <c r="H3" s="149"/>
      <c r="I3" s="150"/>
      <c r="J3" s="151"/>
    </row>
    <row r="4" spans="1:10" s="156" customFormat="1" ht="25.5" customHeight="1">
      <c r="A4" s="175"/>
      <c r="B4" s="152">
        <v>-1</v>
      </c>
      <c r="C4" s="153"/>
      <c r="D4" s="153">
        <v>-2</v>
      </c>
      <c r="E4" s="153">
        <v>-3</v>
      </c>
      <c r="F4" s="153"/>
      <c r="G4" s="153">
        <v>-4</v>
      </c>
      <c r="H4" s="153"/>
      <c r="I4" s="154"/>
      <c r="J4" s="155"/>
    </row>
    <row r="5" spans="1:10" s="159" customFormat="1" ht="69" customHeight="1">
      <c r="A5" s="176"/>
      <c r="B5" s="230" t="s">
        <v>67</v>
      </c>
      <c r="C5" s="176"/>
      <c r="D5" s="207" t="s">
        <v>94</v>
      </c>
      <c r="E5" s="216" t="s">
        <v>145</v>
      </c>
      <c r="F5" s="176"/>
      <c r="G5" s="176" t="s">
        <v>79</v>
      </c>
      <c r="H5" s="157"/>
      <c r="I5" s="230" t="s">
        <v>80</v>
      </c>
      <c r="J5" s="158"/>
    </row>
    <row r="6" spans="1:10" s="266" customFormat="1">
      <c r="A6" s="261"/>
      <c r="B6" s="309"/>
      <c r="C6" s="265"/>
      <c r="D6" s="217"/>
      <c r="E6" s="264"/>
      <c r="F6" s="265"/>
      <c r="G6" s="261"/>
      <c r="H6" s="261"/>
      <c r="I6" s="263" t="s">
        <v>143</v>
      </c>
      <c r="J6" s="262"/>
    </row>
    <row r="7" spans="1:10" s="163" customFormat="1" ht="9" customHeight="1">
      <c r="A7" s="161"/>
      <c r="B7" s="160"/>
      <c r="C7" s="161"/>
      <c r="D7" s="218"/>
      <c r="E7" s="160"/>
      <c r="F7" s="161"/>
      <c r="G7" s="161"/>
      <c r="H7" s="161"/>
      <c r="I7" s="164"/>
      <c r="J7" s="162"/>
    </row>
    <row r="8" spans="1:10" ht="15">
      <c r="A8" s="149" t="s">
        <v>0</v>
      </c>
      <c r="B8" s="310">
        <v>6670</v>
      </c>
      <c r="C8" s="149"/>
      <c r="D8" s="219">
        <v>191</v>
      </c>
      <c r="E8" s="165">
        <f>B8+D8</f>
        <v>6861</v>
      </c>
      <c r="F8" s="149"/>
      <c r="G8" s="149">
        <v>115</v>
      </c>
      <c r="H8" s="149"/>
      <c r="I8" s="166">
        <f>E8+G8</f>
        <v>6976</v>
      </c>
      <c r="J8" s="167"/>
    </row>
    <row r="9" spans="1:10" ht="15">
      <c r="A9" s="149" t="s">
        <v>1</v>
      </c>
      <c r="B9" s="310">
        <v>3057</v>
      </c>
      <c r="C9" s="149"/>
      <c r="D9" s="219">
        <v>193</v>
      </c>
      <c r="E9" s="165">
        <f t="shared" ref="E9:E30" si="0">B9+D9</f>
        <v>3250</v>
      </c>
      <c r="F9" s="149"/>
      <c r="G9" s="149">
        <v>8</v>
      </c>
      <c r="H9" s="149"/>
      <c r="I9" s="166">
        <f t="shared" ref="I9:I30" si="1">E9+G9</f>
        <v>3258</v>
      </c>
      <c r="J9" s="167"/>
    </row>
    <row r="10" spans="1:10" ht="15">
      <c r="A10" s="149" t="s">
        <v>2</v>
      </c>
      <c r="B10" s="310">
        <v>13959</v>
      </c>
      <c r="C10" s="149"/>
      <c r="D10" s="219">
        <v>234</v>
      </c>
      <c r="E10" s="165">
        <f t="shared" si="0"/>
        <v>14193</v>
      </c>
      <c r="F10" s="149"/>
      <c r="G10" s="149">
        <v>490</v>
      </c>
      <c r="H10" s="149"/>
      <c r="I10" s="166">
        <f t="shared" si="1"/>
        <v>14683</v>
      </c>
      <c r="J10" s="167"/>
    </row>
    <row r="11" spans="1:10" ht="15">
      <c r="A11" s="149" t="s">
        <v>3</v>
      </c>
      <c r="B11" s="310">
        <v>9057</v>
      </c>
      <c r="C11" s="149"/>
      <c r="D11" s="219">
        <v>368</v>
      </c>
      <c r="E11" s="165">
        <f t="shared" si="0"/>
        <v>9425</v>
      </c>
      <c r="F11" s="149"/>
      <c r="G11" s="149">
        <v>112</v>
      </c>
      <c r="H11" s="149"/>
      <c r="I11" s="166">
        <f t="shared" si="1"/>
        <v>9537</v>
      </c>
      <c r="J11" s="167"/>
    </row>
    <row r="12" spans="1:10" ht="15">
      <c r="A12" s="149" t="s">
        <v>29</v>
      </c>
      <c r="B12" s="310">
        <v>11162</v>
      </c>
      <c r="C12" s="149"/>
      <c r="D12" s="219">
        <v>138</v>
      </c>
      <c r="E12" s="165">
        <f t="shared" si="0"/>
        <v>11300</v>
      </c>
      <c r="F12" s="149"/>
      <c r="G12" s="149">
        <v>1167</v>
      </c>
      <c r="H12" s="149"/>
      <c r="I12" s="166">
        <f t="shared" si="1"/>
        <v>12467</v>
      </c>
      <c r="J12" s="167"/>
    </row>
    <row r="13" spans="1:10" ht="15">
      <c r="A13" s="149" t="s">
        <v>4</v>
      </c>
      <c r="B13" s="310">
        <v>17255</v>
      </c>
      <c r="C13" s="149"/>
      <c r="D13" s="219">
        <v>312</v>
      </c>
      <c r="E13" s="165">
        <f t="shared" si="0"/>
        <v>17567</v>
      </c>
      <c r="F13" s="149"/>
      <c r="G13" s="149">
        <v>438</v>
      </c>
      <c r="H13" s="149"/>
      <c r="I13" s="166">
        <f t="shared" si="1"/>
        <v>18005</v>
      </c>
      <c r="J13" s="167"/>
    </row>
    <row r="14" spans="1:10" ht="15">
      <c r="A14" s="149" t="s">
        <v>5</v>
      </c>
      <c r="B14" s="310">
        <v>25598</v>
      </c>
      <c r="C14" s="149"/>
      <c r="D14" s="219">
        <v>1277</v>
      </c>
      <c r="E14" s="165">
        <f t="shared" si="0"/>
        <v>26875</v>
      </c>
      <c r="F14" s="149"/>
      <c r="G14" s="149">
        <v>829</v>
      </c>
      <c r="H14" s="149"/>
      <c r="I14" s="166">
        <f t="shared" si="1"/>
        <v>27704</v>
      </c>
      <c r="J14" s="167"/>
    </row>
    <row r="15" spans="1:10" ht="15">
      <c r="A15" s="149" t="s">
        <v>6</v>
      </c>
      <c r="B15" s="310">
        <v>6814</v>
      </c>
      <c r="C15" s="149"/>
      <c r="D15" s="219">
        <v>186</v>
      </c>
      <c r="E15" s="165">
        <f t="shared" si="0"/>
        <v>7000</v>
      </c>
      <c r="F15" s="149"/>
      <c r="G15" s="149">
        <v>248</v>
      </c>
      <c r="H15" s="149"/>
      <c r="I15" s="166">
        <f t="shared" si="1"/>
        <v>7248</v>
      </c>
      <c r="J15" s="167"/>
    </row>
    <row r="16" spans="1:10" ht="15">
      <c r="A16" s="149" t="s">
        <v>7</v>
      </c>
      <c r="B16" s="310">
        <v>26454</v>
      </c>
      <c r="C16" s="149"/>
      <c r="D16" s="219">
        <v>421</v>
      </c>
      <c r="E16" s="165">
        <f t="shared" si="0"/>
        <v>26875</v>
      </c>
      <c r="F16" s="149"/>
      <c r="G16" s="149">
        <v>1093</v>
      </c>
      <c r="H16" s="149"/>
      <c r="I16" s="166">
        <f t="shared" si="1"/>
        <v>27968</v>
      </c>
      <c r="J16" s="167"/>
    </row>
    <row r="17" spans="1:10" ht="15">
      <c r="A17" s="149" t="s">
        <v>8</v>
      </c>
      <c r="B17" s="310">
        <v>16131</v>
      </c>
      <c r="C17" s="149"/>
      <c r="D17" s="219">
        <v>219</v>
      </c>
      <c r="E17" s="165">
        <f t="shared" si="0"/>
        <v>16350</v>
      </c>
      <c r="F17" s="149"/>
      <c r="G17" s="149">
        <v>781</v>
      </c>
      <c r="H17" s="149"/>
      <c r="I17" s="166">
        <f t="shared" si="1"/>
        <v>17131</v>
      </c>
      <c r="J17" s="167"/>
    </row>
    <row r="18" spans="1:10" ht="15">
      <c r="A18" s="149" t="s">
        <v>9</v>
      </c>
      <c r="B18" s="310">
        <v>950</v>
      </c>
      <c r="C18" s="149"/>
      <c r="D18" s="219">
        <v>75</v>
      </c>
      <c r="E18" s="165">
        <f t="shared" si="0"/>
        <v>1025</v>
      </c>
      <c r="F18" s="149"/>
      <c r="G18" s="149">
        <v>30</v>
      </c>
      <c r="H18" s="149"/>
      <c r="I18" s="166">
        <f t="shared" si="1"/>
        <v>1055</v>
      </c>
      <c r="J18" s="167"/>
    </row>
    <row r="19" spans="1:10" ht="15">
      <c r="A19" s="149" t="s">
        <v>10</v>
      </c>
      <c r="B19" s="310">
        <v>3900</v>
      </c>
      <c r="C19" s="149"/>
      <c r="D19" s="219">
        <v>600</v>
      </c>
      <c r="E19" s="165">
        <f t="shared" si="0"/>
        <v>4500</v>
      </c>
      <c r="F19" s="149"/>
      <c r="G19" s="149">
        <v>83</v>
      </c>
      <c r="H19" s="149"/>
      <c r="I19" s="166">
        <f t="shared" si="1"/>
        <v>4583</v>
      </c>
      <c r="J19" s="167"/>
    </row>
    <row r="20" spans="1:10" ht="15">
      <c r="A20" s="149" t="s">
        <v>11</v>
      </c>
      <c r="B20" s="310">
        <v>24226</v>
      </c>
      <c r="C20" s="149"/>
      <c r="D20" s="219">
        <v>1044</v>
      </c>
      <c r="E20" s="165">
        <f t="shared" si="0"/>
        <v>25270</v>
      </c>
      <c r="F20" s="149"/>
      <c r="G20" s="149">
        <v>1482</v>
      </c>
      <c r="H20" s="149"/>
      <c r="I20" s="166">
        <f t="shared" si="1"/>
        <v>26752</v>
      </c>
      <c r="J20" s="167"/>
    </row>
    <row r="21" spans="1:10" ht="15">
      <c r="A21" s="149" t="s">
        <v>12</v>
      </c>
      <c r="B21" s="310">
        <v>16905</v>
      </c>
      <c r="C21" s="149"/>
      <c r="D21" s="219">
        <v>245</v>
      </c>
      <c r="E21" s="165">
        <f t="shared" si="0"/>
        <v>17150</v>
      </c>
      <c r="F21" s="149"/>
      <c r="G21" s="149">
        <v>605</v>
      </c>
      <c r="H21" s="149"/>
      <c r="I21" s="166">
        <f t="shared" si="1"/>
        <v>17755</v>
      </c>
      <c r="J21" s="167"/>
    </row>
    <row r="22" spans="1:10" ht="15">
      <c r="A22" s="149" t="s">
        <v>13</v>
      </c>
      <c r="B22" s="310">
        <v>21625</v>
      </c>
      <c r="C22" s="149"/>
      <c r="D22" s="219">
        <v>0</v>
      </c>
      <c r="E22" s="165">
        <f t="shared" si="0"/>
        <v>21625</v>
      </c>
      <c r="F22" s="149"/>
      <c r="G22" s="149">
        <v>461</v>
      </c>
      <c r="H22" s="149"/>
      <c r="I22" s="166">
        <f t="shared" si="1"/>
        <v>22086</v>
      </c>
      <c r="J22" s="167"/>
    </row>
    <row r="23" spans="1:10" ht="15">
      <c r="A23" s="149" t="s">
        <v>14</v>
      </c>
      <c r="B23" s="310">
        <v>13678</v>
      </c>
      <c r="C23" s="149"/>
      <c r="D23" s="219">
        <v>172</v>
      </c>
      <c r="E23" s="165">
        <f t="shared" si="0"/>
        <v>13850</v>
      </c>
      <c r="F23" s="149"/>
      <c r="G23" s="149">
        <v>539</v>
      </c>
      <c r="H23" s="149"/>
      <c r="I23" s="166">
        <f t="shared" si="1"/>
        <v>14389</v>
      </c>
      <c r="J23" s="167"/>
    </row>
    <row r="24" spans="1:10" ht="15">
      <c r="A24" s="149" t="s">
        <v>15</v>
      </c>
      <c r="B24" s="310">
        <v>26641</v>
      </c>
      <c r="C24" s="149"/>
      <c r="D24" s="219">
        <v>-727</v>
      </c>
      <c r="E24" s="165">
        <f t="shared" si="0"/>
        <v>25914</v>
      </c>
      <c r="F24" s="149"/>
      <c r="G24" s="149">
        <v>1721</v>
      </c>
      <c r="H24" s="149"/>
      <c r="I24" s="166">
        <f t="shared" si="1"/>
        <v>27635</v>
      </c>
      <c r="J24" s="167"/>
    </row>
    <row r="25" spans="1:10" ht="15">
      <c r="A25" s="149" t="s">
        <v>16</v>
      </c>
      <c r="B25" s="310">
        <v>22044</v>
      </c>
      <c r="C25" s="149"/>
      <c r="D25" s="219">
        <v>756</v>
      </c>
      <c r="E25" s="165">
        <f t="shared" si="0"/>
        <v>22800</v>
      </c>
      <c r="F25" s="149"/>
      <c r="G25" s="149">
        <v>1754</v>
      </c>
      <c r="H25" s="149"/>
      <c r="I25" s="166">
        <f t="shared" si="1"/>
        <v>24554</v>
      </c>
      <c r="J25" s="167"/>
    </row>
    <row r="26" spans="1:10" ht="15">
      <c r="A26" s="149" t="s">
        <v>17</v>
      </c>
      <c r="B26" s="310">
        <v>21145</v>
      </c>
      <c r="C26" s="149"/>
      <c r="D26" s="219">
        <v>-100</v>
      </c>
      <c r="E26" s="165">
        <f t="shared" si="0"/>
        <v>21045</v>
      </c>
      <c r="F26" s="149"/>
      <c r="G26" s="149">
        <v>1441</v>
      </c>
      <c r="H26" s="149"/>
      <c r="I26" s="166">
        <f t="shared" si="1"/>
        <v>22486</v>
      </c>
      <c r="J26" s="167"/>
    </row>
    <row r="27" spans="1:10" ht="15">
      <c r="A27" s="149" t="s">
        <v>18</v>
      </c>
      <c r="B27" s="310">
        <v>16463</v>
      </c>
      <c r="C27" s="149"/>
      <c r="D27" s="219">
        <v>-463</v>
      </c>
      <c r="E27" s="165">
        <f t="shared" si="0"/>
        <v>16000</v>
      </c>
      <c r="F27" s="149"/>
      <c r="G27" s="149">
        <v>798</v>
      </c>
      <c r="H27" s="149"/>
      <c r="I27" s="166">
        <f t="shared" si="1"/>
        <v>16798</v>
      </c>
      <c r="J27" s="167"/>
    </row>
    <row r="28" spans="1:10" ht="15">
      <c r="A28" s="149" t="s">
        <v>19</v>
      </c>
      <c r="B28" s="310">
        <v>7055</v>
      </c>
      <c r="C28" s="149"/>
      <c r="D28" s="219">
        <v>345</v>
      </c>
      <c r="E28" s="165">
        <f t="shared" si="0"/>
        <v>7400</v>
      </c>
      <c r="F28" s="149"/>
      <c r="G28" s="149">
        <v>106</v>
      </c>
      <c r="H28" s="149"/>
      <c r="I28" s="166">
        <f t="shared" si="1"/>
        <v>7506</v>
      </c>
      <c r="J28" s="167"/>
    </row>
    <row r="29" spans="1:10" ht="15">
      <c r="A29" s="149" t="s">
        <v>20</v>
      </c>
      <c r="B29" s="310">
        <v>7266</v>
      </c>
      <c r="C29" s="149"/>
      <c r="D29" s="219">
        <v>184</v>
      </c>
      <c r="E29" s="165">
        <f t="shared" si="0"/>
        <v>7450</v>
      </c>
      <c r="F29" s="149"/>
      <c r="G29" s="149">
        <v>83</v>
      </c>
      <c r="H29" s="149"/>
      <c r="I29" s="166">
        <f t="shared" si="1"/>
        <v>7533</v>
      </c>
      <c r="J29" s="167"/>
    </row>
    <row r="30" spans="1:10" ht="15">
      <c r="A30" s="149" t="s">
        <v>21</v>
      </c>
      <c r="B30" s="310">
        <v>6869</v>
      </c>
      <c r="C30" s="149"/>
      <c r="D30" s="219">
        <v>-154</v>
      </c>
      <c r="E30" s="165">
        <f t="shared" si="0"/>
        <v>6715</v>
      </c>
      <c r="F30" s="149"/>
      <c r="G30" s="149">
        <v>116</v>
      </c>
      <c r="H30" s="149"/>
      <c r="I30" s="166">
        <f t="shared" si="1"/>
        <v>6831</v>
      </c>
      <c r="J30" s="167"/>
    </row>
    <row r="31" spans="1:10" ht="9" customHeight="1">
      <c r="A31" s="187"/>
      <c r="B31" s="188"/>
      <c r="C31" s="187"/>
      <c r="D31" s="220"/>
      <c r="E31" s="188"/>
      <c r="F31" s="187"/>
      <c r="G31" s="187"/>
      <c r="H31" s="187"/>
      <c r="I31" s="188"/>
      <c r="J31" s="167"/>
    </row>
    <row r="32" spans="1:10" s="144" customFormat="1" ht="18.75" customHeight="1" thickBot="1">
      <c r="A32" s="169" t="s">
        <v>22</v>
      </c>
      <c r="B32" s="168">
        <f>SUM(B8:B30)</f>
        <v>324924</v>
      </c>
      <c r="C32" s="169"/>
      <c r="D32" s="221">
        <f t="shared" ref="D32:E32" si="2">SUM(D8:D30)</f>
        <v>5516</v>
      </c>
      <c r="E32" s="168">
        <f t="shared" si="2"/>
        <v>330440</v>
      </c>
      <c r="F32" s="169"/>
      <c r="G32" s="169">
        <f>SUM(G8:G30)</f>
        <v>14500</v>
      </c>
      <c r="H32" s="169"/>
      <c r="I32" s="168">
        <f>SUM(I8:I30)</f>
        <v>344940</v>
      </c>
      <c r="J32" s="170"/>
    </row>
    <row r="33" spans="1:10" ht="9" customHeight="1" thickTop="1">
      <c r="A33" s="149"/>
      <c r="B33" s="165"/>
      <c r="C33" s="149"/>
      <c r="D33" s="219"/>
      <c r="E33" s="165"/>
      <c r="F33" s="149"/>
      <c r="G33" s="149"/>
      <c r="H33" s="149"/>
      <c r="I33" s="166"/>
      <c r="J33" s="167"/>
    </row>
    <row r="34" spans="1:10" ht="15">
      <c r="A34" s="149" t="s">
        <v>23</v>
      </c>
      <c r="B34" s="310">
        <v>0</v>
      </c>
      <c r="C34" s="149"/>
      <c r="D34" s="219">
        <v>0</v>
      </c>
      <c r="E34" s="165">
        <f t="shared" ref="E34:E38" si="3">B34+D34</f>
        <v>0</v>
      </c>
      <c r="F34" s="149"/>
      <c r="G34" s="149">
        <v>0</v>
      </c>
      <c r="H34" s="149"/>
      <c r="I34" s="166">
        <f>E34+G34</f>
        <v>0</v>
      </c>
      <c r="J34" s="167"/>
    </row>
    <row r="35" spans="1:10" ht="15">
      <c r="A35" s="149" t="s">
        <v>30</v>
      </c>
      <c r="B35" s="310">
        <v>650</v>
      </c>
      <c r="C35" s="149"/>
      <c r="D35" s="219">
        <f>E35-B35</f>
        <v>-50</v>
      </c>
      <c r="E35" s="165">
        <v>600</v>
      </c>
      <c r="F35" s="149"/>
      <c r="G35" s="149">
        <v>0</v>
      </c>
      <c r="H35" s="149"/>
      <c r="I35" s="166">
        <f t="shared" ref="I35:I38" si="4">E35+G35</f>
        <v>600</v>
      </c>
      <c r="J35" s="167"/>
    </row>
    <row r="36" spans="1:10" ht="15">
      <c r="A36" s="149" t="s">
        <v>24</v>
      </c>
      <c r="B36" s="310">
        <v>665</v>
      </c>
      <c r="C36" s="149"/>
      <c r="D36" s="219">
        <f>E36-B36</f>
        <v>-40</v>
      </c>
      <c r="E36" s="165">
        <v>625</v>
      </c>
      <c r="F36" s="149"/>
      <c r="G36" s="149">
        <v>7</v>
      </c>
      <c r="H36" s="149"/>
      <c r="I36" s="166">
        <f t="shared" si="4"/>
        <v>632</v>
      </c>
      <c r="J36" s="167"/>
    </row>
    <row r="37" spans="1:10" ht="15">
      <c r="A37" s="149" t="s">
        <v>25</v>
      </c>
      <c r="B37" s="310">
        <v>51</v>
      </c>
      <c r="C37" s="149"/>
      <c r="D37" s="219">
        <v>0</v>
      </c>
      <c r="E37" s="165">
        <f t="shared" si="3"/>
        <v>51</v>
      </c>
      <c r="F37" s="149"/>
      <c r="G37" s="149">
        <v>2</v>
      </c>
      <c r="H37" s="149"/>
      <c r="I37" s="166">
        <f t="shared" si="4"/>
        <v>53</v>
      </c>
      <c r="J37" s="167"/>
    </row>
    <row r="38" spans="1:10" ht="15">
      <c r="A38" s="149" t="s">
        <v>26</v>
      </c>
      <c r="B38" s="310">
        <v>0</v>
      </c>
      <c r="C38" s="149"/>
      <c r="D38" s="219">
        <v>0</v>
      </c>
      <c r="E38" s="165">
        <f t="shared" si="3"/>
        <v>0</v>
      </c>
      <c r="F38" s="149"/>
      <c r="G38" s="149">
        <v>0</v>
      </c>
      <c r="H38" s="149"/>
      <c r="I38" s="166">
        <f t="shared" si="4"/>
        <v>0</v>
      </c>
      <c r="J38" s="167"/>
    </row>
    <row r="39" spans="1:10" ht="9" customHeight="1">
      <c r="A39" s="149"/>
      <c r="B39" s="188"/>
      <c r="C39" s="149"/>
      <c r="D39" s="219"/>
      <c r="E39" s="165"/>
      <c r="F39" s="190"/>
      <c r="G39" s="149"/>
      <c r="H39" s="149"/>
      <c r="I39" s="166"/>
      <c r="J39" s="167"/>
    </row>
    <row r="40" spans="1:10" s="144" customFormat="1" ht="22.5" customHeight="1" thickBot="1">
      <c r="A40" s="172" t="s">
        <v>27</v>
      </c>
      <c r="B40" s="173">
        <f>SUM(B34:B38,B32)</f>
        <v>326290</v>
      </c>
      <c r="C40" s="173"/>
      <c r="D40" s="222">
        <f t="shared" ref="D40:E40" si="5">SUM(D34:D38,D32)</f>
        <v>5426</v>
      </c>
      <c r="E40" s="171">
        <f t="shared" si="5"/>
        <v>331716</v>
      </c>
      <c r="F40" s="189"/>
      <c r="G40" s="172">
        <f>SUM(G32:G38)</f>
        <v>14509</v>
      </c>
      <c r="H40" s="172"/>
      <c r="I40" s="171">
        <f>SUM(I32:I38)</f>
        <v>346225</v>
      </c>
      <c r="J40" s="170"/>
    </row>
    <row r="41" spans="1:10">
      <c r="A41" s="144"/>
      <c r="B41" s="144"/>
    </row>
    <row r="42" spans="1:10" s="174" customFormat="1" ht="18" customHeight="1">
      <c r="A42" s="471" t="s">
        <v>84</v>
      </c>
      <c r="B42" s="471"/>
      <c r="C42" s="471"/>
      <c r="D42" s="471"/>
      <c r="E42" s="471"/>
      <c r="F42" s="471"/>
      <c r="G42" s="471"/>
      <c r="H42" s="471"/>
      <c r="I42" s="471"/>
      <c r="J42" s="471"/>
    </row>
    <row r="43" spans="1:10" s="174" customFormat="1" ht="18" customHeight="1">
      <c r="A43" s="229" t="s">
        <v>93</v>
      </c>
      <c r="B43" s="143"/>
      <c r="C43" s="143"/>
      <c r="D43" s="143"/>
      <c r="E43" s="143"/>
      <c r="F43" s="143"/>
      <c r="G43" s="143"/>
      <c r="H43" s="143"/>
      <c r="I43" s="144"/>
      <c r="J43" s="143"/>
    </row>
    <row r="44" spans="1:10" ht="27.75" customHeight="1">
      <c r="A44" s="472" t="s">
        <v>132</v>
      </c>
      <c r="B44" s="472"/>
      <c r="C44" s="472"/>
      <c r="D44" s="472"/>
      <c r="E44" s="472"/>
      <c r="F44" s="472"/>
      <c r="G44" s="472"/>
      <c r="H44" s="472"/>
      <c r="I44" s="472"/>
    </row>
  </sheetData>
  <mergeCells count="3">
    <mergeCell ref="B3:F3"/>
    <mergeCell ref="A42:J42"/>
    <mergeCell ref="A44:I44"/>
  </mergeCells>
  <printOptions horizontalCentered="1"/>
  <pageMargins left="0.5" right="0.5" top="0.5" bottom="0.75" header="0.5" footer="0.5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E5" sqref="E5:F5"/>
    </sheetView>
  </sheetViews>
  <sheetFormatPr defaultColWidth="10" defaultRowHeight="12.75"/>
  <cols>
    <col min="1" max="1" width="1.5" style="88" customWidth="1"/>
    <col min="2" max="2" width="18.5" style="87" customWidth="1"/>
    <col min="3" max="3" width="13.83203125" style="87" customWidth="1"/>
    <col min="4" max="4" width="9.83203125" style="87" bestFit="1" customWidth="1"/>
    <col min="5" max="5" width="13.83203125" style="87" customWidth="1"/>
    <col min="6" max="6" width="9.83203125" style="88" bestFit="1" customWidth="1"/>
    <col min="7" max="7" width="13.83203125" style="87" customWidth="1"/>
    <col min="8" max="8" width="11" style="87" bestFit="1" customWidth="1"/>
    <col min="9" max="9" width="13.83203125" style="87" customWidth="1"/>
    <col min="10" max="10" width="11" style="87" bestFit="1" customWidth="1"/>
    <col min="11" max="11" width="2.33203125" style="87" customWidth="1"/>
    <col min="12" max="12" width="16.83203125" style="87" bestFit="1" customWidth="1"/>
    <col min="13" max="13" width="2.5" style="87" customWidth="1"/>
    <col min="14" max="14" width="2.33203125" style="87" customWidth="1"/>
    <col min="15" max="15" width="13.5" style="87" customWidth="1"/>
    <col min="16" max="16384" width="10" style="87"/>
  </cols>
  <sheetData>
    <row r="1" spans="1:15" ht="16.5">
      <c r="A1" s="86" t="s">
        <v>184</v>
      </c>
    </row>
    <row r="2" spans="1:15" ht="15.75" customHeight="1">
      <c r="A2" s="319"/>
      <c r="B2" s="178"/>
    </row>
    <row r="3" spans="1:15" ht="14.25" customHeight="1">
      <c r="C3" s="89">
        <v>-1</v>
      </c>
      <c r="D3" s="89"/>
      <c r="E3" s="89"/>
      <c r="F3" s="89"/>
      <c r="G3" s="89"/>
      <c r="H3" s="89"/>
      <c r="I3" s="89">
        <v>-2</v>
      </c>
      <c r="L3" s="89">
        <v>-3</v>
      </c>
    </row>
    <row r="4" spans="1:15" ht="36.75" customHeight="1">
      <c r="A4" s="90"/>
      <c r="B4" s="91"/>
      <c r="C4" s="92"/>
      <c r="D4" s="92"/>
      <c r="E4" s="473" t="s">
        <v>202</v>
      </c>
      <c r="F4" s="474"/>
      <c r="G4" s="474"/>
      <c r="H4" s="474"/>
      <c r="I4" s="474"/>
      <c r="J4" s="474"/>
      <c r="K4" s="474"/>
      <c r="L4" s="474"/>
      <c r="M4" s="475"/>
      <c r="N4" s="205"/>
    </row>
    <row r="5" spans="1:15" s="97" customFormat="1" ht="75.75" customHeight="1" thickBot="1">
      <c r="A5" s="93"/>
      <c r="B5" s="94" t="s">
        <v>34</v>
      </c>
      <c r="C5" s="95" t="s">
        <v>83</v>
      </c>
      <c r="D5" s="96"/>
      <c r="E5" s="476" t="s">
        <v>81</v>
      </c>
      <c r="F5" s="477"/>
      <c r="G5" s="204" t="s">
        <v>82</v>
      </c>
      <c r="H5" s="424"/>
      <c r="I5" s="478" t="s">
        <v>200</v>
      </c>
      <c r="J5" s="479"/>
      <c r="K5" s="480" t="s">
        <v>201</v>
      </c>
      <c r="L5" s="481"/>
      <c r="M5" s="482"/>
      <c r="N5" s="98"/>
      <c r="O5" s="138"/>
    </row>
    <row r="6" spans="1:15" s="275" customFormat="1" ht="15">
      <c r="A6" s="267"/>
      <c r="B6" s="268"/>
      <c r="C6" s="269" t="s">
        <v>42</v>
      </c>
      <c r="D6" s="270" t="s">
        <v>43</v>
      </c>
      <c r="E6" s="271" t="s">
        <v>42</v>
      </c>
      <c r="F6" s="272" t="s">
        <v>43</v>
      </c>
      <c r="G6" s="271" t="s">
        <v>42</v>
      </c>
      <c r="H6" s="270" t="s">
        <v>43</v>
      </c>
      <c r="I6" s="271" t="s">
        <v>42</v>
      </c>
      <c r="J6" s="272" t="s">
        <v>43</v>
      </c>
      <c r="K6" s="271"/>
      <c r="L6" s="273" t="s">
        <v>64</v>
      </c>
      <c r="M6" s="274"/>
      <c r="N6" s="268"/>
      <c r="O6" s="268"/>
    </row>
    <row r="7" spans="1:15" ht="9" customHeight="1">
      <c r="A7" s="101"/>
      <c r="B7" s="99"/>
      <c r="C7" s="104"/>
      <c r="D7" s="99"/>
      <c r="E7" s="104"/>
      <c r="F7" s="102"/>
      <c r="G7" s="104"/>
      <c r="H7" s="100"/>
      <c r="I7" s="425"/>
      <c r="J7" s="102"/>
      <c r="K7" s="101"/>
      <c r="L7" s="178"/>
      <c r="M7" s="103"/>
      <c r="N7" s="99"/>
      <c r="O7" s="99"/>
    </row>
    <row r="8" spans="1:15" ht="15">
      <c r="A8" s="105"/>
      <c r="B8" s="99" t="s">
        <v>44</v>
      </c>
      <c r="C8" s="106">
        <v>11423800</v>
      </c>
      <c r="D8" s="107">
        <f t="shared" ref="D8:D30" si="0">C8/$C$32</f>
        <v>2.4179821094977308E-2</v>
      </c>
      <c r="E8" s="421">
        <f>ROUND(16157103*1.12/100,0)*100</f>
        <v>18096000</v>
      </c>
      <c r="F8" s="108">
        <f t="shared" ref="F8:F30" si="1">E8/$E$32</f>
        <v>2.5076441157457351E-2</v>
      </c>
      <c r="G8" s="421">
        <f>ROUND(16240266/100,0)*100</f>
        <v>16240300</v>
      </c>
      <c r="H8" s="111">
        <f t="shared" ref="H8:H30" si="2">G8/$G$32</f>
        <v>2.5273985798896868E-2</v>
      </c>
      <c r="I8" s="110">
        <f t="shared" ref="I8:I22" si="3">ROUND((625834800)*J8/100,0)*100</f>
        <v>15817300</v>
      </c>
      <c r="J8" s="109">
        <f>H8</f>
        <v>2.5273985798896868E-2</v>
      </c>
      <c r="K8" s="112"/>
      <c r="L8" s="113">
        <f>I8-C8</f>
        <v>4393500</v>
      </c>
      <c r="M8" s="103"/>
      <c r="N8" s="99"/>
      <c r="O8" s="115"/>
    </row>
    <row r="9" spans="1:15" ht="15">
      <c r="A9" s="105"/>
      <c r="B9" s="99" t="s">
        <v>1</v>
      </c>
      <c r="C9" s="315">
        <v>3352100</v>
      </c>
      <c r="D9" s="107">
        <f t="shared" si="0"/>
        <v>7.0951153112338659E-3</v>
      </c>
      <c r="E9" s="422">
        <f>ROUND(5046575*1.12/100,0)*100</f>
        <v>5652200</v>
      </c>
      <c r="F9" s="108">
        <f t="shared" si="1"/>
        <v>7.8325077757615182E-3</v>
      </c>
      <c r="G9" s="423">
        <f>ROUND(6381881/100,0)*100</f>
        <v>6381900</v>
      </c>
      <c r="H9" s="111">
        <f t="shared" si="2"/>
        <v>9.9318393114646852E-3</v>
      </c>
      <c r="I9" s="315">
        <f t="shared" si="3"/>
        <v>6215700</v>
      </c>
      <c r="J9" s="109">
        <f t="shared" ref="J9:J30" si="4">H9</f>
        <v>9.9318393114646852E-3</v>
      </c>
      <c r="K9" s="112"/>
      <c r="L9" s="116">
        <f t="shared" ref="L9:L30" si="5">I9-C9</f>
        <v>2863600</v>
      </c>
      <c r="M9" s="103"/>
      <c r="N9" s="114"/>
      <c r="O9" s="115"/>
    </row>
    <row r="10" spans="1:15" ht="15">
      <c r="A10" s="105"/>
      <c r="B10" s="99" t="s">
        <v>45</v>
      </c>
      <c r="C10" s="315">
        <v>16348000</v>
      </c>
      <c r="D10" s="107">
        <f t="shared" si="0"/>
        <v>3.4602471617210473E-2</v>
      </c>
      <c r="E10" s="422">
        <f>ROUND(23731705*1.12/100,0)*100</f>
        <v>26579500</v>
      </c>
      <c r="F10" s="108">
        <f t="shared" si="1"/>
        <v>3.6832408694995454E-2</v>
      </c>
      <c r="G10" s="423">
        <f>ROUND(23285242/100,0)*100</f>
        <v>23285200</v>
      </c>
      <c r="H10" s="111">
        <f t="shared" si="2"/>
        <v>3.6237619632917703E-2</v>
      </c>
      <c r="I10" s="315">
        <f t="shared" si="3"/>
        <v>22678800</v>
      </c>
      <c r="J10" s="109">
        <f t="shared" si="4"/>
        <v>3.6237619632917703E-2</v>
      </c>
      <c r="K10" s="112"/>
      <c r="L10" s="116">
        <f t="shared" si="5"/>
        <v>6330800</v>
      </c>
      <c r="M10" s="103"/>
      <c r="N10" s="114"/>
      <c r="O10" s="115"/>
    </row>
    <row r="11" spans="1:15" ht="15">
      <c r="A11" s="105"/>
      <c r="B11" s="99" t="s">
        <v>46</v>
      </c>
      <c r="C11" s="316">
        <v>20905300</v>
      </c>
      <c r="D11" s="107">
        <f t="shared" si="0"/>
        <v>4.4248534982827881E-2</v>
      </c>
      <c r="E11" s="422">
        <f>ROUND(28980086*1.12/100,0)*100</f>
        <v>32457700</v>
      </c>
      <c r="F11" s="108">
        <f t="shared" si="1"/>
        <v>4.4978094836229193E-2</v>
      </c>
      <c r="G11" s="423">
        <f>ROUND(29679986/100,0)*100</f>
        <v>29680000</v>
      </c>
      <c r="H11" s="111">
        <f t="shared" si="2"/>
        <v>4.6189534584414021E-2</v>
      </c>
      <c r="I11" s="315">
        <f t="shared" si="3"/>
        <v>28907000</v>
      </c>
      <c r="J11" s="109">
        <f>H11</f>
        <v>4.6189534584414021E-2</v>
      </c>
      <c r="K11" s="112"/>
      <c r="L11" s="116">
        <f t="shared" si="5"/>
        <v>8001700</v>
      </c>
      <c r="M11" s="103"/>
      <c r="N11" s="114"/>
      <c r="O11" s="115"/>
    </row>
    <row r="12" spans="1:15" ht="15">
      <c r="A12" s="105"/>
      <c r="B12" s="99" t="s">
        <v>29</v>
      </c>
      <c r="C12" s="316">
        <v>15133700</v>
      </c>
      <c r="D12" s="107">
        <f t="shared" si="0"/>
        <v>3.2032262338718996E-2</v>
      </c>
      <c r="E12" s="422">
        <f>ROUND(25011861*1.12/100,0)*100</f>
        <v>28013300</v>
      </c>
      <c r="F12" s="108">
        <f t="shared" si="1"/>
        <v>3.8819289847270115E-2</v>
      </c>
      <c r="G12" s="423">
        <f>ROUND(22512087/100,0)*100</f>
        <v>22512100</v>
      </c>
      <c r="H12" s="111">
        <f t="shared" si="2"/>
        <v>3.5034481857068291E-2</v>
      </c>
      <c r="I12" s="315">
        <f t="shared" si="3"/>
        <v>21925800</v>
      </c>
      <c r="J12" s="109">
        <f t="shared" si="4"/>
        <v>3.5034481857068291E-2</v>
      </c>
      <c r="K12" s="112"/>
      <c r="L12" s="116">
        <f t="shared" si="5"/>
        <v>6792100</v>
      </c>
      <c r="M12" s="103"/>
      <c r="N12" s="114"/>
      <c r="O12" s="115"/>
    </row>
    <row r="13" spans="1:15" ht="15">
      <c r="A13" s="105"/>
      <c r="B13" s="99" t="s">
        <v>47</v>
      </c>
      <c r="C13" s="316">
        <v>27378900</v>
      </c>
      <c r="D13" s="107">
        <f t="shared" si="0"/>
        <v>5.7950673486692188E-2</v>
      </c>
      <c r="E13" s="422">
        <f>ROUND(35121455*1.12/100,0)*100</f>
        <v>39336000</v>
      </c>
      <c r="F13" s="108">
        <f t="shared" si="1"/>
        <v>5.4509664531926523E-2</v>
      </c>
      <c r="G13" s="423">
        <f>ROUND(35869939/100,0)*100</f>
        <v>35869900</v>
      </c>
      <c r="H13" s="111">
        <f t="shared" si="2"/>
        <v>5.5822573672152036E-2</v>
      </c>
      <c r="I13" s="315">
        <f t="shared" si="3"/>
        <v>34935700</v>
      </c>
      <c r="J13" s="109">
        <f t="shared" si="4"/>
        <v>5.5822573672152036E-2</v>
      </c>
      <c r="K13" s="112"/>
      <c r="L13" s="116">
        <f t="shared" si="5"/>
        <v>7556800</v>
      </c>
      <c r="M13" s="103"/>
      <c r="N13" s="114"/>
      <c r="O13" s="115"/>
    </row>
    <row r="14" spans="1:15" ht="15">
      <c r="A14" s="105"/>
      <c r="B14" s="99" t="s">
        <v>48</v>
      </c>
      <c r="C14" s="315">
        <v>34218100</v>
      </c>
      <c r="D14" s="107">
        <f t="shared" si="0"/>
        <v>7.2426647543728268E-2</v>
      </c>
      <c r="E14" s="422">
        <f>ROUND(46197009*1.12/100,0)*100</f>
        <v>51740700</v>
      </c>
      <c r="F14" s="108">
        <f t="shared" si="1"/>
        <v>7.1699415284905699E-2</v>
      </c>
      <c r="G14" s="423">
        <f>ROUND(46204196/100,0)*100</f>
        <v>46204200</v>
      </c>
      <c r="H14" s="111">
        <f t="shared" si="2"/>
        <v>7.1905340089123387E-2</v>
      </c>
      <c r="I14" s="315">
        <f t="shared" si="3"/>
        <v>45000900</v>
      </c>
      <c r="J14" s="109">
        <f t="shared" si="4"/>
        <v>7.1905340089123387E-2</v>
      </c>
      <c r="K14" s="112"/>
      <c r="L14" s="116">
        <f t="shared" si="5"/>
        <v>10782800</v>
      </c>
      <c r="M14" s="103"/>
      <c r="N14" s="114"/>
      <c r="O14" s="115"/>
    </row>
    <row r="15" spans="1:15" ht="15">
      <c r="A15" s="105"/>
      <c r="B15" s="99" t="s">
        <v>49</v>
      </c>
      <c r="C15" s="315">
        <v>11867000</v>
      </c>
      <c r="D15" s="107">
        <f t="shared" si="0"/>
        <v>2.5117906207575036E-2</v>
      </c>
      <c r="E15" s="422">
        <f>ROUND(13960341*1.12/100,0)*100</f>
        <v>15635600</v>
      </c>
      <c r="F15" s="108">
        <f t="shared" si="1"/>
        <v>2.1666954208750009E-2</v>
      </c>
      <c r="G15" s="423">
        <f>ROUND(15433886/100,0)*100</f>
        <v>15433900</v>
      </c>
      <c r="H15" s="111">
        <f t="shared" si="2"/>
        <v>2.4019024859244863E-2</v>
      </c>
      <c r="I15" s="315">
        <f t="shared" si="3"/>
        <v>15031900</v>
      </c>
      <c r="J15" s="109">
        <f t="shared" si="4"/>
        <v>2.4019024859244863E-2</v>
      </c>
      <c r="K15" s="112"/>
      <c r="L15" s="116">
        <f t="shared" si="5"/>
        <v>3164900</v>
      </c>
      <c r="M15" s="103"/>
      <c r="N15" s="114"/>
      <c r="O15" s="115"/>
    </row>
    <row r="16" spans="1:15" ht="15">
      <c r="A16" s="105"/>
      <c r="B16" s="99" t="s">
        <v>50</v>
      </c>
      <c r="C16" s="315">
        <v>39551900</v>
      </c>
      <c r="D16" s="107">
        <f t="shared" si="0"/>
        <v>8.3716264812622149E-2</v>
      </c>
      <c r="E16" s="422">
        <f>ROUND(50506976*1.12/100,0)*100</f>
        <v>56567800</v>
      </c>
      <c r="F16" s="108">
        <f t="shared" si="1"/>
        <v>7.8388544877697613E-2</v>
      </c>
      <c r="G16" s="423">
        <f>ROUND(51856296/100,0)*100</f>
        <v>51856300</v>
      </c>
      <c r="H16" s="111">
        <f t="shared" si="2"/>
        <v>8.0701427300193695E-2</v>
      </c>
      <c r="I16" s="315">
        <f t="shared" si="3"/>
        <v>50505800</v>
      </c>
      <c r="J16" s="109">
        <f t="shared" si="4"/>
        <v>8.0701427300193695E-2</v>
      </c>
      <c r="K16" s="112"/>
      <c r="L16" s="116">
        <f t="shared" si="5"/>
        <v>10953900</v>
      </c>
      <c r="M16" s="103"/>
      <c r="N16" s="114"/>
      <c r="O16" s="115"/>
    </row>
    <row r="17" spans="1:15" ht="15">
      <c r="A17" s="105"/>
      <c r="B17" s="99" t="s">
        <v>51</v>
      </c>
      <c r="C17" s="316">
        <v>32857800</v>
      </c>
      <c r="D17" s="107">
        <f t="shared" si="0"/>
        <v>6.954741203229621E-2</v>
      </c>
      <c r="E17" s="422">
        <f>ROUND(46720412*1.12/100,0)*100</f>
        <v>52326900</v>
      </c>
      <c r="F17" s="108">
        <f t="shared" si="1"/>
        <v>7.251173899216154E-2</v>
      </c>
      <c r="G17" s="423">
        <f>ROUND(43465449/100,0)*100</f>
        <v>43465400</v>
      </c>
      <c r="H17" s="111">
        <f t="shared" si="2"/>
        <v>6.7643079397755698E-2</v>
      </c>
      <c r="I17" s="315">
        <f t="shared" si="3"/>
        <v>42333400</v>
      </c>
      <c r="J17" s="109">
        <f t="shared" si="4"/>
        <v>6.7643079397755698E-2</v>
      </c>
      <c r="K17" s="112"/>
      <c r="L17" s="116">
        <f t="shared" si="5"/>
        <v>9475600</v>
      </c>
      <c r="M17" s="103"/>
      <c r="N17" s="114"/>
      <c r="O17" s="115"/>
    </row>
    <row r="18" spans="1:15" ht="15">
      <c r="A18" s="105"/>
      <c r="B18" s="99" t="s">
        <v>9</v>
      </c>
      <c r="C18" s="316">
        <v>863400</v>
      </c>
      <c r="D18" s="107">
        <f t="shared" si="0"/>
        <v>1.8274880104171473E-3</v>
      </c>
      <c r="E18" s="422">
        <f>ROUND(1318849*1.12/100,0)*100</f>
        <v>1477100</v>
      </c>
      <c r="F18" s="108">
        <f t="shared" si="1"/>
        <v>2.0468839099071759E-3</v>
      </c>
      <c r="G18" s="423">
        <f>ROUND(1682738/100,0)*100</f>
        <v>1682700</v>
      </c>
      <c r="H18" s="111">
        <f t="shared" si="2"/>
        <v>2.6187038357544969E-3</v>
      </c>
      <c r="I18" s="315">
        <f t="shared" si="3"/>
        <v>1638900</v>
      </c>
      <c r="J18" s="109">
        <f t="shared" si="4"/>
        <v>2.6187038357544969E-3</v>
      </c>
      <c r="K18" s="112"/>
      <c r="L18" s="116">
        <f t="shared" si="5"/>
        <v>775500</v>
      </c>
      <c r="M18" s="103"/>
      <c r="N18" s="114"/>
      <c r="O18" s="115"/>
    </row>
    <row r="19" spans="1:15" ht="15">
      <c r="A19" s="105"/>
      <c r="B19" s="99" t="s">
        <v>10</v>
      </c>
      <c r="C19" s="316">
        <v>5139800</v>
      </c>
      <c r="D19" s="107">
        <f t="shared" si="0"/>
        <v>1.0878993370328995E-2</v>
      </c>
      <c r="E19" s="422">
        <f>ROUND(6892350*1.12/100,0)*100</f>
        <v>7719400</v>
      </c>
      <c r="F19" s="108">
        <f t="shared" si="1"/>
        <v>1.069711979834639E-2</v>
      </c>
      <c r="G19" s="423">
        <f>ROUND(9215702/100,0)*100</f>
        <v>9215700</v>
      </c>
      <c r="H19" s="111">
        <f t="shared" si="2"/>
        <v>1.4341943863530467E-2</v>
      </c>
      <c r="I19" s="315">
        <f t="shared" si="3"/>
        <v>8975700</v>
      </c>
      <c r="J19" s="109">
        <f t="shared" si="4"/>
        <v>1.4341943863530467E-2</v>
      </c>
      <c r="K19" s="112"/>
      <c r="L19" s="116">
        <f t="shared" si="5"/>
        <v>3835900</v>
      </c>
      <c r="M19" s="103"/>
      <c r="N19" s="114"/>
      <c r="O19" s="115"/>
    </row>
    <row r="20" spans="1:15" ht="15">
      <c r="A20" s="105"/>
      <c r="B20" s="99" t="s">
        <v>52</v>
      </c>
      <c r="C20" s="316">
        <v>40451300</v>
      </c>
      <c r="D20" s="107">
        <f t="shared" si="0"/>
        <v>8.5619951072257533E-2</v>
      </c>
      <c r="E20" s="422">
        <f>ROUND(54422197*1.12/100,0)*100</f>
        <v>60952900</v>
      </c>
      <c r="F20" s="108">
        <f t="shared" si="1"/>
        <v>8.4465175189344724E-2</v>
      </c>
      <c r="G20" s="423">
        <f>ROUND(54317567/100,0)*100</f>
        <v>54317600</v>
      </c>
      <c r="H20" s="111">
        <f t="shared" si="2"/>
        <v>8.4531828293206435E-2</v>
      </c>
      <c r="I20" s="315">
        <f t="shared" si="3"/>
        <v>52903000</v>
      </c>
      <c r="J20" s="109">
        <f t="shared" si="4"/>
        <v>8.4531828293206435E-2</v>
      </c>
      <c r="K20" s="112"/>
      <c r="L20" s="116">
        <f t="shared" si="5"/>
        <v>12451700</v>
      </c>
      <c r="M20" s="103"/>
      <c r="N20" s="114"/>
      <c r="O20" s="115"/>
    </row>
    <row r="21" spans="1:15" ht="15">
      <c r="A21" s="105"/>
      <c r="B21" s="99" t="s">
        <v>53</v>
      </c>
      <c r="C21" s="316">
        <v>23132700</v>
      </c>
      <c r="D21" s="107">
        <f t="shared" si="0"/>
        <v>4.8963089991402295E-2</v>
      </c>
      <c r="E21" s="422">
        <f>ROUND(32264958*1.12/100,0)*100</f>
        <v>36136800</v>
      </c>
      <c r="F21" s="108">
        <f t="shared" si="1"/>
        <v>5.0076389192020607E-2</v>
      </c>
      <c r="G21" s="423">
        <f>ROUND(32033119/100,0)*100</f>
        <v>32033100</v>
      </c>
      <c r="H21" s="111">
        <f t="shared" si="2"/>
        <v>4.9851549201347461E-2</v>
      </c>
      <c r="I21" s="315">
        <f t="shared" si="3"/>
        <v>31198800</v>
      </c>
      <c r="J21" s="109">
        <f t="shared" si="4"/>
        <v>4.9851549201347461E-2</v>
      </c>
      <c r="K21" s="112"/>
      <c r="L21" s="116">
        <f t="shared" si="5"/>
        <v>8066100</v>
      </c>
      <c r="M21" s="103"/>
      <c r="N21" s="114"/>
      <c r="O21" s="115"/>
    </row>
    <row r="22" spans="1:15" ht="15">
      <c r="A22" s="105"/>
      <c r="B22" s="99" t="s">
        <v>54</v>
      </c>
      <c r="C22" s="316">
        <v>31134600</v>
      </c>
      <c r="D22" s="107">
        <f t="shared" si="0"/>
        <v>6.5900055836383739E-2</v>
      </c>
      <c r="E22" s="422">
        <f>ROUND(43406108*1.12/100,0)*100</f>
        <v>48614800</v>
      </c>
      <c r="F22" s="108">
        <f t="shared" si="1"/>
        <v>6.7367715052031263E-2</v>
      </c>
      <c r="G22" s="423">
        <f>ROUND(42392528/100,0)*100</f>
        <v>42392500</v>
      </c>
      <c r="H22" s="111">
        <f t="shared" si="2"/>
        <v>6.597337752256642E-2</v>
      </c>
      <c r="I22" s="315">
        <f t="shared" si="3"/>
        <v>41288400</v>
      </c>
      <c r="J22" s="109">
        <f t="shared" si="4"/>
        <v>6.597337752256642E-2</v>
      </c>
      <c r="K22" s="112"/>
      <c r="L22" s="116">
        <f t="shared" si="5"/>
        <v>10153800</v>
      </c>
      <c r="M22" s="103"/>
      <c r="N22" s="114"/>
      <c r="O22" s="115"/>
    </row>
    <row r="23" spans="1:15" ht="15">
      <c r="A23" s="105"/>
      <c r="B23" s="99" t="s">
        <v>55</v>
      </c>
      <c r="C23" s="316">
        <v>26941700</v>
      </c>
      <c r="D23" s="107">
        <f t="shared" si="0"/>
        <v>5.7025288082297496E-2</v>
      </c>
      <c r="E23" s="422">
        <f>ROUND(33960229*1.12/100,0)*100</f>
        <v>38035500</v>
      </c>
      <c r="F23" s="108">
        <f t="shared" si="1"/>
        <v>5.2707503185481272E-2</v>
      </c>
      <c r="G23" s="423">
        <f>ROUND(35056403/100,0)*100</f>
        <v>35056400</v>
      </c>
      <c r="H23" s="111">
        <f t="shared" si="2"/>
        <v>5.455656334922681E-2</v>
      </c>
      <c r="I23" s="315">
        <f>ROUND((625834800)*J23/100,0)*100-100</f>
        <v>34143300</v>
      </c>
      <c r="J23" s="109">
        <f t="shared" si="4"/>
        <v>5.455656334922681E-2</v>
      </c>
      <c r="K23" s="112"/>
      <c r="L23" s="116">
        <f t="shared" si="5"/>
        <v>7201600</v>
      </c>
      <c r="M23" s="103"/>
      <c r="N23" s="114"/>
      <c r="O23" s="115"/>
    </row>
    <row r="24" spans="1:15" ht="15">
      <c r="A24" s="105"/>
      <c r="B24" s="99" t="s">
        <v>56</v>
      </c>
      <c r="C24" s="316">
        <v>31782500</v>
      </c>
      <c r="D24" s="107">
        <f t="shared" si="0"/>
        <v>6.7271412660508442E-2</v>
      </c>
      <c r="E24" s="422">
        <f>ROUND(45167923*1.12/100,0)*100</f>
        <v>50588100</v>
      </c>
      <c r="F24" s="108">
        <f>E24/$E$32</f>
        <v>7.0102205620997365E-2</v>
      </c>
      <c r="G24" s="423">
        <f>ROUND(41420549/100,0)*100</f>
        <v>41420500</v>
      </c>
      <c r="H24" s="111">
        <f t="shared" si="2"/>
        <v>6.4460701389950165E-2</v>
      </c>
      <c r="I24" s="315">
        <f t="shared" ref="I24:I30" si="6">ROUND((625834800)*J24/100,0)*100</f>
        <v>40341800</v>
      </c>
      <c r="J24" s="109">
        <f t="shared" si="4"/>
        <v>6.4460701389950165E-2</v>
      </c>
      <c r="K24" s="112"/>
      <c r="L24" s="116">
        <f t="shared" si="5"/>
        <v>8559300</v>
      </c>
      <c r="M24" s="103"/>
      <c r="N24" s="114"/>
      <c r="O24" s="115"/>
    </row>
    <row r="25" spans="1:15" ht="15">
      <c r="A25" s="105"/>
      <c r="B25" s="99" t="s">
        <v>57</v>
      </c>
      <c r="C25" s="316">
        <v>34165400</v>
      </c>
      <c r="D25" s="107">
        <f t="shared" si="0"/>
        <v>7.2315101773344923E-2</v>
      </c>
      <c r="E25" s="422">
        <f>ROUND(45914622*1.12/100,0)*100</f>
        <v>51424400</v>
      </c>
      <c r="F25" s="108">
        <f>E25/$E$32</f>
        <v>7.1261104147742588E-2</v>
      </c>
      <c r="G25" s="423">
        <f>ROUND(44912039/100,0)*100</f>
        <v>44912000</v>
      </c>
      <c r="H25" s="111">
        <f>G25/$G$32</f>
        <v>6.9894352333396303E-2</v>
      </c>
      <c r="I25" s="315">
        <f t="shared" si="6"/>
        <v>43742300</v>
      </c>
      <c r="J25" s="109">
        <f t="shared" si="4"/>
        <v>6.9894352333396303E-2</v>
      </c>
      <c r="K25" s="112"/>
      <c r="L25" s="116">
        <f t="shared" si="5"/>
        <v>9576900</v>
      </c>
      <c r="M25" s="103"/>
      <c r="N25" s="114"/>
      <c r="O25" s="115"/>
    </row>
    <row r="26" spans="1:15" ht="15">
      <c r="A26" s="105"/>
      <c r="B26" s="99" t="s">
        <v>58</v>
      </c>
      <c r="C26" s="316">
        <v>26672500</v>
      </c>
      <c r="D26" s="107">
        <f t="shared" si="0"/>
        <v>5.6455494507587863E-2</v>
      </c>
      <c r="E26" s="422">
        <f>ROUND(36432989*1.12/100,0)*100</f>
        <v>40804900</v>
      </c>
      <c r="F26" s="108">
        <f t="shared" si="1"/>
        <v>5.6545185332997981E-2</v>
      </c>
      <c r="G26" s="423">
        <f>ROUND(35840730/100,0)*100</f>
        <v>35840700</v>
      </c>
      <c r="H26" s="111">
        <f t="shared" si="2"/>
        <v>5.5777131138126941E-2</v>
      </c>
      <c r="I26" s="315">
        <f t="shared" si="6"/>
        <v>34907300</v>
      </c>
      <c r="J26" s="109">
        <f t="shared" si="4"/>
        <v>5.5777131138126941E-2</v>
      </c>
      <c r="K26" s="112"/>
      <c r="L26" s="116">
        <f t="shared" si="5"/>
        <v>8234800</v>
      </c>
      <c r="M26" s="103"/>
      <c r="N26" s="114"/>
      <c r="O26" s="115"/>
    </row>
    <row r="27" spans="1:15" ht="15">
      <c r="A27" s="105"/>
      <c r="B27" s="99" t="s">
        <v>59</v>
      </c>
      <c r="C27" s="316">
        <v>11431500</v>
      </c>
      <c r="D27" s="107">
        <f t="shared" si="0"/>
        <v>2.4196119053837874E-2</v>
      </c>
      <c r="E27" s="422">
        <f>ROUND(15402410*1.12/100,0)*100</f>
        <v>17250700</v>
      </c>
      <c r="F27" s="108">
        <f t="shared" si="1"/>
        <v>2.3905070925892436E-2</v>
      </c>
      <c r="G27" s="423">
        <f>ROUND(15075096/100,0)*100</f>
        <v>15075100</v>
      </c>
      <c r="H27" s="111">
        <f t="shared" si="2"/>
        <v>2.3460641941155654E-2</v>
      </c>
      <c r="I27" s="315">
        <f t="shared" si="6"/>
        <v>14682500</v>
      </c>
      <c r="J27" s="109">
        <f t="shared" si="4"/>
        <v>2.3460641941155654E-2</v>
      </c>
      <c r="K27" s="112"/>
      <c r="L27" s="116">
        <f t="shared" si="5"/>
        <v>3251000</v>
      </c>
      <c r="M27" s="103"/>
      <c r="N27" s="114"/>
      <c r="O27" s="115"/>
    </row>
    <row r="28" spans="1:15" ht="15">
      <c r="A28" s="105"/>
      <c r="B28" s="99" t="s">
        <v>60</v>
      </c>
      <c r="C28" s="316">
        <v>9569600</v>
      </c>
      <c r="D28" s="107">
        <f t="shared" si="0"/>
        <v>2.0255187936631842E-2</v>
      </c>
      <c r="E28" s="422">
        <f>ROUND(13843981*1.12/100,0)*100</f>
        <v>15505300</v>
      </c>
      <c r="F28" s="108">
        <f t="shared" si="1"/>
        <v>2.1486391637860494E-2</v>
      </c>
      <c r="G28" s="423">
        <f>ROUND(14672018/100,0)*100</f>
        <v>14672000</v>
      </c>
      <c r="H28" s="111">
        <f t="shared" si="2"/>
        <v>2.2833317096446176E-2</v>
      </c>
      <c r="I28" s="315">
        <f t="shared" si="6"/>
        <v>14289900</v>
      </c>
      <c r="J28" s="109">
        <f t="shared" si="4"/>
        <v>2.2833317096446176E-2</v>
      </c>
      <c r="K28" s="112"/>
      <c r="L28" s="116">
        <f t="shared" si="5"/>
        <v>4720300</v>
      </c>
      <c r="M28" s="103"/>
      <c r="N28" s="114"/>
      <c r="O28" s="115"/>
    </row>
    <row r="29" spans="1:15" ht="15">
      <c r="A29" s="105"/>
      <c r="B29" s="99" t="s">
        <v>61</v>
      </c>
      <c r="C29" s="316">
        <v>6548700</v>
      </c>
      <c r="D29" s="107">
        <f t="shared" si="0"/>
        <v>1.3861096518205667E-2</v>
      </c>
      <c r="E29" s="422">
        <f>ROUND(8999477*1.12/100,0)*100</f>
        <v>10079400</v>
      </c>
      <c r="F29" s="108">
        <f t="shared" si="1"/>
        <v>1.3967477951065187E-2</v>
      </c>
      <c r="G29" s="423">
        <f>ROUND(9901992/100,0)*100</f>
        <v>9902000</v>
      </c>
      <c r="H29" s="111">
        <f t="shared" si="2"/>
        <v>1.5409999038236781E-2</v>
      </c>
      <c r="I29" s="315">
        <f t="shared" si="6"/>
        <v>9644100</v>
      </c>
      <c r="J29" s="109">
        <f t="shared" si="4"/>
        <v>1.5409999038236781E-2</v>
      </c>
      <c r="K29" s="112"/>
      <c r="L29" s="116">
        <f t="shared" si="5"/>
        <v>3095400</v>
      </c>
      <c r="M29" s="103"/>
      <c r="N29" s="114"/>
      <c r="O29" s="115"/>
    </row>
    <row r="30" spans="1:15" ht="15">
      <c r="A30" s="105"/>
      <c r="B30" s="99" t="s">
        <v>62</v>
      </c>
      <c r="C30" s="316">
        <v>11581500</v>
      </c>
      <c r="D30" s="107">
        <f t="shared" si="0"/>
        <v>2.4513611758913818E-2</v>
      </c>
      <c r="E30" s="422">
        <f>ROUND(14855789*1.12/100,0)*100</f>
        <v>16638500</v>
      </c>
      <c r="F30" s="108">
        <f t="shared" si="1"/>
        <v>2.3056717849157502E-2</v>
      </c>
      <c r="G30" s="423">
        <f>ROUND(15120338/100,0)*100</f>
        <v>15120300</v>
      </c>
      <c r="H30" s="111">
        <f t="shared" si="2"/>
        <v>2.3530984493824639E-2</v>
      </c>
      <c r="I30" s="315">
        <f t="shared" si="6"/>
        <v>14726500</v>
      </c>
      <c r="J30" s="109">
        <f t="shared" si="4"/>
        <v>2.3530984493824639E-2</v>
      </c>
      <c r="K30" s="112"/>
      <c r="L30" s="116">
        <f t="shared" si="5"/>
        <v>3145000</v>
      </c>
      <c r="M30" s="103"/>
      <c r="N30" s="114"/>
      <c r="O30" s="115"/>
    </row>
    <row r="31" spans="1:15" ht="15">
      <c r="A31" s="105"/>
      <c r="B31" s="99"/>
      <c r="C31" s="120"/>
      <c r="D31" s="118"/>
      <c r="E31" s="104"/>
      <c r="F31" s="119"/>
      <c r="G31" s="104"/>
      <c r="H31" s="117"/>
      <c r="I31" s="120"/>
      <c r="J31" s="119"/>
      <c r="K31" s="121"/>
      <c r="L31" s="116"/>
      <c r="M31" s="103"/>
      <c r="N31" s="114"/>
      <c r="O31" s="114"/>
    </row>
    <row r="32" spans="1:15" ht="15">
      <c r="A32" s="122"/>
      <c r="B32" s="123" t="s">
        <v>22</v>
      </c>
      <c r="C32" s="125">
        <f t="shared" ref="C32:J32" si="7">SUM(C8:C30)</f>
        <v>472451800</v>
      </c>
      <c r="D32" s="124">
        <f t="shared" si="7"/>
        <v>1</v>
      </c>
      <c r="E32" s="125">
        <f t="shared" si="7"/>
        <v>721633500</v>
      </c>
      <c r="F32" s="126">
        <f t="shared" si="7"/>
        <v>1</v>
      </c>
      <c r="G32" s="125">
        <f t="shared" si="7"/>
        <v>642569800</v>
      </c>
      <c r="H32" s="124">
        <f t="shared" si="7"/>
        <v>1</v>
      </c>
      <c r="I32" s="125">
        <f>SUM(I8:I31)</f>
        <v>625834800</v>
      </c>
      <c r="J32" s="126">
        <f t="shared" si="7"/>
        <v>1</v>
      </c>
      <c r="K32" s="127"/>
      <c r="L32" s="128">
        <f>SUM(L8:L31)</f>
        <v>153383000</v>
      </c>
      <c r="M32" s="129"/>
      <c r="N32" s="131"/>
      <c r="O32" s="130"/>
    </row>
    <row r="33" spans="1:15">
      <c r="C33" s="132"/>
      <c r="D33" s="132"/>
      <c r="E33" s="132"/>
      <c r="F33" s="133"/>
      <c r="G33" s="132"/>
      <c r="H33" s="132"/>
      <c r="I33" s="131"/>
      <c r="J33" s="132"/>
      <c r="K33" s="132"/>
      <c r="L33" s="132"/>
      <c r="M33" s="131"/>
      <c r="O33" s="223"/>
    </row>
    <row r="34" spans="1:15" ht="15.75">
      <c r="A34" s="134"/>
      <c r="B34" s="483" t="s">
        <v>85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O34" s="223"/>
    </row>
    <row r="35" spans="1:15">
      <c r="I35" s="135"/>
      <c r="J35" s="135"/>
      <c r="K35" s="135"/>
      <c r="L35" s="135"/>
      <c r="O35" s="223"/>
    </row>
    <row r="36" spans="1:15">
      <c r="C36" s="320"/>
      <c r="I36" s="135"/>
    </row>
    <row r="37" spans="1:15">
      <c r="C37" s="135"/>
    </row>
  </sheetData>
  <mergeCells count="5">
    <mergeCell ref="E4:M4"/>
    <mergeCell ref="E5:F5"/>
    <mergeCell ref="I5:J5"/>
    <mergeCell ref="K5:M5"/>
    <mergeCell ref="B34:M34"/>
  </mergeCells>
  <pageMargins left="0.5" right="0.5" top="0.5" bottom="0.5" header="0.5" footer="0.5"/>
  <pageSetup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8" sqref="B38"/>
    </sheetView>
  </sheetViews>
  <sheetFormatPr defaultColWidth="9.33203125" defaultRowHeight="15.75"/>
  <cols>
    <col min="1" max="1" width="36.1640625" style="63" customWidth="1"/>
    <col min="2" max="2" width="14.6640625" style="63" bestFit="1" customWidth="1"/>
    <col min="3" max="3" width="31.1640625" style="64" customWidth="1"/>
    <col min="4" max="4" width="14.5" style="63" bestFit="1" customWidth="1"/>
    <col min="5" max="5" width="3.1640625" style="63" customWidth="1"/>
    <col min="6" max="6" width="14.5" style="63" bestFit="1" customWidth="1"/>
    <col min="7" max="7" width="3.1640625" style="63" customWidth="1"/>
    <col min="8" max="8" width="14.5" style="63" bestFit="1" customWidth="1"/>
    <col min="9" max="9" width="3.5" style="63" customWidth="1"/>
    <col min="10" max="10" width="14.5" style="64" bestFit="1" customWidth="1"/>
    <col min="11" max="11" width="9.33203125" style="63"/>
    <col min="12" max="12" width="17" style="63" bestFit="1" customWidth="1"/>
    <col min="13" max="13" width="15.83203125" style="63" bestFit="1" customWidth="1"/>
    <col min="14" max="14" width="17" style="63" bestFit="1" customWidth="1"/>
    <col min="15" max="16384" width="9.33203125" style="63"/>
  </cols>
  <sheetData>
    <row r="1" spans="1:10" ht="16.5">
      <c r="A1" s="62" t="s">
        <v>71</v>
      </c>
    </row>
    <row r="2" spans="1:10">
      <c r="A2" s="65" t="s">
        <v>72</v>
      </c>
    </row>
    <row r="3" spans="1:10">
      <c r="A3" s="79"/>
    </row>
    <row r="4" spans="1:10" s="64" customFormat="1" ht="21" customHeight="1">
      <c r="A4" s="66"/>
      <c r="B4" s="67"/>
      <c r="C4" s="66"/>
      <c r="D4" s="485" t="s">
        <v>33</v>
      </c>
      <c r="E4" s="485"/>
      <c r="F4" s="485"/>
      <c r="G4" s="485"/>
      <c r="H4" s="485"/>
      <c r="I4" s="485"/>
      <c r="J4" s="485"/>
    </row>
    <row r="5" spans="1:10" s="69" customFormat="1" ht="50.25">
      <c r="A5" s="68" t="s">
        <v>34</v>
      </c>
      <c r="B5" s="139" t="s">
        <v>35</v>
      </c>
      <c r="C5" s="68"/>
      <c r="D5" s="83">
        <v>40360</v>
      </c>
      <c r="E5" s="83"/>
      <c r="F5" s="83">
        <v>40452</v>
      </c>
      <c r="G5" s="83"/>
      <c r="H5" s="83">
        <v>40544</v>
      </c>
      <c r="I5" s="83"/>
      <c r="J5" s="83">
        <v>40634</v>
      </c>
    </row>
    <row r="6" spans="1:10">
      <c r="A6" s="70"/>
      <c r="B6" s="140"/>
      <c r="D6" s="64"/>
      <c r="E6" s="64"/>
      <c r="F6" s="64"/>
      <c r="G6" s="64"/>
      <c r="H6" s="64"/>
      <c r="I6" s="64"/>
    </row>
    <row r="7" spans="1:10">
      <c r="A7" s="71" t="s">
        <v>0</v>
      </c>
      <c r="B7" s="208">
        <v>60100</v>
      </c>
      <c r="C7" s="71"/>
      <c r="D7" s="71">
        <f>ROUND(B7/4,2)</f>
        <v>15025</v>
      </c>
      <c r="E7" s="71"/>
      <c r="F7" s="71">
        <f t="shared" ref="F7:F29" si="0">D7</f>
        <v>15025</v>
      </c>
      <c r="G7" s="71"/>
      <c r="H7" s="71">
        <f t="shared" ref="H7:H29" si="1">F7</f>
        <v>15025</v>
      </c>
      <c r="I7" s="71"/>
      <c r="J7" s="71">
        <f t="shared" ref="J7:J29" si="2">H7</f>
        <v>15025</v>
      </c>
    </row>
    <row r="8" spans="1:10">
      <c r="A8" s="72" t="s">
        <v>1</v>
      </c>
      <c r="B8" s="209">
        <v>31100</v>
      </c>
      <c r="C8" s="73"/>
      <c r="D8" s="73">
        <f t="shared" ref="D8:D29" si="3">ROUND(B8/4,2)</f>
        <v>7775</v>
      </c>
      <c r="E8" s="73"/>
      <c r="F8" s="73">
        <f t="shared" si="0"/>
        <v>7775</v>
      </c>
      <c r="G8" s="73"/>
      <c r="H8" s="73">
        <f t="shared" si="1"/>
        <v>7775</v>
      </c>
      <c r="I8" s="73"/>
      <c r="J8" s="73">
        <f t="shared" si="2"/>
        <v>7775</v>
      </c>
    </row>
    <row r="9" spans="1:10">
      <c r="A9" s="72" t="s">
        <v>2</v>
      </c>
      <c r="B9" s="209">
        <v>129300</v>
      </c>
      <c r="C9" s="73"/>
      <c r="D9" s="73">
        <f t="shared" si="3"/>
        <v>32325</v>
      </c>
      <c r="E9" s="73"/>
      <c r="F9" s="73">
        <f t="shared" si="0"/>
        <v>32325</v>
      </c>
      <c r="G9" s="73"/>
      <c r="H9" s="73">
        <f t="shared" si="1"/>
        <v>32325</v>
      </c>
      <c r="I9" s="73"/>
      <c r="J9" s="73">
        <f t="shared" si="2"/>
        <v>32325</v>
      </c>
    </row>
    <row r="10" spans="1:10">
      <c r="A10" s="72" t="s">
        <v>3</v>
      </c>
      <c r="B10" s="209">
        <v>95700</v>
      </c>
      <c r="C10" s="73"/>
      <c r="D10" s="73">
        <f t="shared" si="3"/>
        <v>23925</v>
      </c>
      <c r="E10" s="73"/>
      <c r="F10" s="73">
        <f t="shared" si="0"/>
        <v>23925</v>
      </c>
      <c r="G10" s="73"/>
      <c r="H10" s="73">
        <f t="shared" si="1"/>
        <v>23925</v>
      </c>
      <c r="I10" s="73"/>
      <c r="J10" s="73">
        <f t="shared" si="2"/>
        <v>23925</v>
      </c>
    </row>
    <row r="11" spans="1:10">
      <c r="A11" s="72" t="s">
        <v>29</v>
      </c>
      <c r="B11" s="209">
        <v>140000</v>
      </c>
      <c r="C11" s="73"/>
      <c r="D11" s="73">
        <f t="shared" si="3"/>
        <v>35000</v>
      </c>
      <c r="E11" s="73"/>
      <c r="F11" s="73">
        <f t="shared" si="0"/>
        <v>35000</v>
      </c>
      <c r="G11" s="73"/>
      <c r="H11" s="73">
        <f t="shared" si="1"/>
        <v>35000</v>
      </c>
      <c r="I11" s="73"/>
      <c r="J11" s="73">
        <f t="shared" si="2"/>
        <v>35000</v>
      </c>
    </row>
    <row r="12" spans="1:10">
      <c r="A12" s="72" t="s">
        <v>4</v>
      </c>
      <c r="B12" s="209">
        <v>169600</v>
      </c>
      <c r="C12" s="73"/>
      <c r="D12" s="73">
        <f t="shared" si="3"/>
        <v>42400</v>
      </c>
      <c r="E12" s="73"/>
      <c r="F12" s="73">
        <f t="shared" si="0"/>
        <v>42400</v>
      </c>
      <c r="G12" s="73"/>
      <c r="H12" s="73">
        <f t="shared" si="1"/>
        <v>42400</v>
      </c>
      <c r="I12" s="73"/>
      <c r="J12" s="73">
        <f t="shared" si="2"/>
        <v>42400</v>
      </c>
    </row>
    <row r="13" spans="1:10">
      <c r="A13" s="72" t="s">
        <v>5</v>
      </c>
      <c r="B13" s="209">
        <v>290400</v>
      </c>
      <c r="C13" s="73"/>
      <c r="D13" s="73">
        <f t="shared" si="3"/>
        <v>72600</v>
      </c>
      <c r="E13" s="73"/>
      <c r="F13" s="73">
        <f t="shared" si="0"/>
        <v>72600</v>
      </c>
      <c r="G13" s="73"/>
      <c r="H13" s="73">
        <f t="shared" si="1"/>
        <v>72600</v>
      </c>
      <c r="I13" s="73"/>
      <c r="J13" s="73">
        <f t="shared" si="2"/>
        <v>72600</v>
      </c>
    </row>
    <row r="14" spans="1:10">
      <c r="A14" s="72" t="s">
        <v>6</v>
      </c>
      <c r="B14" s="209">
        <v>69200</v>
      </c>
      <c r="C14" s="73"/>
      <c r="D14" s="73">
        <f t="shared" si="3"/>
        <v>17300</v>
      </c>
      <c r="E14" s="73"/>
      <c r="F14" s="73">
        <f t="shared" si="0"/>
        <v>17300</v>
      </c>
      <c r="G14" s="73"/>
      <c r="H14" s="73">
        <f t="shared" si="1"/>
        <v>17300</v>
      </c>
      <c r="I14" s="73"/>
      <c r="J14" s="73">
        <f t="shared" si="2"/>
        <v>17300</v>
      </c>
    </row>
    <row r="15" spans="1:10">
      <c r="A15" s="72" t="s">
        <v>7</v>
      </c>
      <c r="B15" s="209">
        <v>293500</v>
      </c>
      <c r="C15" s="73"/>
      <c r="D15" s="73">
        <f t="shared" si="3"/>
        <v>73375</v>
      </c>
      <c r="E15" s="73"/>
      <c r="F15" s="73">
        <f t="shared" si="0"/>
        <v>73375</v>
      </c>
      <c r="G15" s="73"/>
      <c r="H15" s="73">
        <f t="shared" si="1"/>
        <v>73375</v>
      </c>
      <c r="I15" s="73"/>
      <c r="J15" s="73">
        <f t="shared" si="2"/>
        <v>73375</v>
      </c>
    </row>
    <row r="16" spans="1:10">
      <c r="A16" s="72" t="s">
        <v>8</v>
      </c>
      <c r="B16" s="209">
        <v>174100</v>
      </c>
      <c r="C16" s="73"/>
      <c r="D16" s="73">
        <f t="shared" si="3"/>
        <v>43525</v>
      </c>
      <c r="E16" s="73"/>
      <c r="F16" s="73">
        <f t="shared" si="0"/>
        <v>43525</v>
      </c>
      <c r="G16" s="73"/>
      <c r="H16" s="73">
        <f t="shared" si="1"/>
        <v>43525</v>
      </c>
      <c r="I16" s="73"/>
      <c r="J16" s="73">
        <f t="shared" si="2"/>
        <v>43525</v>
      </c>
    </row>
    <row r="17" spans="1:14">
      <c r="A17" s="72" t="s">
        <v>9</v>
      </c>
      <c r="B17" s="209">
        <v>11000</v>
      </c>
      <c r="C17" s="73"/>
      <c r="D17" s="73">
        <f t="shared" si="3"/>
        <v>2750</v>
      </c>
      <c r="E17" s="73"/>
      <c r="F17" s="73">
        <f t="shared" si="0"/>
        <v>2750</v>
      </c>
      <c r="G17" s="73"/>
      <c r="H17" s="73">
        <f t="shared" si="1"/>
        <v>2750</v>
      </c>
      <c r="I17" s="73"/>
      <c r="J17" s="73">
        <f t="shared" si="2"/>
        <v>2750</v>
      </c>
    </row>
    <row r="18" spans="1:14">
      <c r="A18" s="72" t="s">
        <v>10</v>
      </c>
      <c r="B18" s="209">
        <v>33900</v>
      </c>
      <c r="C18" s="73"/>
      <c r="D18" s="73">
        <f t="shared" si="3"/>
        <v>8475</v>
      </c>
      <c r="E18" s="73"/>
      <c r="F18" s="73">
        <f t="shared" si="0"/>
        <v>8475</v>
      </c>
      <c r="G18" s="73"/>
      <c r="H18" s="73">
        <f t="shared" si="1"/>
        <v>8475</v>
      </c>
      <c r="I18" s="73"/>
      <c r="J18" s="73">
        <f t="shared" si="2"/>
        <v>8475</v>
      </c>
    </row>
    <row r="19" spans="1:14">
      <c r="A19" s="72" t="s">
        <v>11</v>
      </c>
      <c r="B19" s="209">
        <v>303000</v>
      </c>
      <c r="C19" s="73"/>
      <c r="D19" s="73">
        <f t="shared" si="3"/>
        <v>75750</v>
      </c>
      <c r="E19" s="73"/>
      <c r="F19" s="73">
        <f t="shared" si="0"/>
        <v>75750</v>
      </c>
      <c r="G19" s="73"/>
      <c r="H19" s="73">
        <f t="shared" si="1"/>
        <v>75750</v>
      </c>
      <c r="I19" s="73"/>
      <c r="J19" s="73">
        <f t="shared" si="2"/>
        <v>75750</v>
      </c>
    </row>
    <row r="20" spans="1:14">
      <c r="A20" s="72" t="s">
        <v>12</v>
      </c>
      <c r="B20" s="209">
        <v>162900</v>
      </c>
      <c r="C20" s="73"/>
      <c r="D20" s="73">
        <f t="shared" si="3"/>
        <v>40725</v>
      </c>
      <c r="E20" s="73"/>
      <c r="F20" s="73">
        <f t="shared" si="0"/>
        <v>40725</v>
      </c>
      <c r="G20" s="73"/>
      <c r="H20" s="73">
        <f t="shared" si="1"/>
        <v>40725</v>
      </c>
      <c r="I20" s="73"/>
      <c r="J20" s="73">
        <f t="shared" si="2"/>
        <v>40725</v>
      </c>
    </row>
    <row r="21" spans="1:14">
      <c r="A21" s="72" t="s">
        <v>13</v>
      </c>
      <c r="B21" s="209">
        <v>217300</v>
      </c>
      <c r="C21" s="73"/>
      <c r="D21" s="73">
        <f t="shared" si="3"/>
        <v>54325</v>
      </c>
      <c r="E21" s="73"/>
      <c r="F21" s="73">
        <f t="shared" si="0"/>
        <v>54325</v>
      </c>
      <c r="G21" s="73"/>
      <c r="H21" s="73">
        <f t="shared" si="1"/>
        <v>54325</v>
      </c>
      <c r="I21" s="73"/>
      <c r="J21" s="73">
        <f t="shared" si="2"/>
        <v>54325</v>
      </c>
    </row>
    <row r="22" spans="1:14">
      <c r="A22" s="72" t="s">
        <v>14</v>
      </c>
      <c r="B22" s="209">
        <v>143700</v>
      </c>
      <c r="C22" s="73"/>
      <c r="D22" s="73">
        <f t="shared" si="3"/>
        <v>35925</v>
      </c>
      <c r="E22" s="73"/>
      <c r="F22" s="73">
        <f t="shared" si="0"/>
        <v>35925</v>
      </c>
      <c r="G22" s="73"/>
      <c r="H22" s="73">
        <f t="shared" si="1"/>
        <v>35925</v>
      </c>
      <c r="I22" s="73"/>
      <c r="J22" s="73">
        <f t="shared" si="2"/>
        <v>35925</v>
      </c>
    </row>
    <row r="23" spans="1:14">
      <c r="A23" s="72" t="s">
        <v>15</v>
      </c>
      <c r="B23" s="209">
        <v>295300</v>
      </c>
      <c r="C23" s="73"/>
      <c r="D23" s="73">
        <f t="shared" si="3"/>
        <v>73825</v>
      </c>
      <c r="E23" s="73"/>
      <c r="F23" s="73">
        <f t="shared" si="0"/>
        <v>73825</v>
      </c>
      <c r="G23" s="73"/>
      <c r="H23" s="73">
        <f t="shared" si="1"/>
        <v>73825</v>
      </c>
      <c r="I23" s="73"/>
      <c r="J23" s="73">
        <f t="shared" si="2"/>
        <v>73825</v>
      </c>
    </row>
    <row r="24" spans="1:14">
      <c r="A24" s="72" t="s">
        <v>16</v>
      </c>
      <c r="B24" s="209">
        <v>263200</v>
      </c>
      <c r="C24" s="73"/>
      <c r="D24" s="73">
        <f t="shared" si="3"/>
        <v>65800</v>
      </c>
      <c r="E24" s="73"/>
      <c r="F24" s="73">
        <f t="shared" si="0"/>
        <v>65800</v>
      </c>
      <c r="G24" s="73"/>
      <c r="H24" s="73">
        <f t="shared" si="1"/>
        <v>65800</v>
      </c>
      <c r="I24" s="73"/>
      <c r="J24" s="73">
        <f t="shared" si="2"/>
        <v>65800</v>
      </c>
    </row>
    <row r="25" spans="1:14">
      <c r="A25" s="72" t="s">
        <v>17</v>
      </c>
      <c r="B25" s="209">
        <v>251300</v>
      </c>
      <c r="C25" s="73"/>
      <c r="D25" s="73">
        <f t="shared" si="3"/>
        <v>62825</v>
      </c>
      <c r="E25" s="73"/>
      <c r="F25" s="73">
        <f t="shared" si="0"/>
        <v>62825</v>
      </c>
      <c r="G25" s="73"/>
      <c r="H25" s="73">
        <f t="shared" si="1"/>
        <v>62825</v>
      </c>
      <c r="I25" s="73"/>
      <c r="J25" s="73">
        <f t="shared" si="2"/>
        <v>62825</v>
      </c>
    </row>
    <row r="26" spans="1:14">
      <c r="A26" s="72" t="s">
        <v>18</v>
      </c>
      <c r="B26" s="209">
        <v>184000</v>
      </c>
      <c r="C26" s="73"/>
      <c r="D26" s="73">
        <f t="shared" si="3"/>
        <v>46000</v>
      </c>
      <c r="E26" s="73"/>
      <c r="F26" s="73">
        <f t="shared" si="0"/>
        <v>46000</v>
      </c>
      <c r="G26" s="73"/>
      <c r="H26" s="73">
        <f t="shared" si="1"/>
        <v>46000</v>
      </c>
      <c r="I26" s="73"/>
      <c r="J26" s="73">
        <f t="shared" si="2"/>
        <v>46000</v>
      </c>
    </row>
    <row r="27" spans="1:14">
      <c r="A27" s="72" t="s">
        <v>19</v>
      </c>
      <c r="B27" s="209">
        <v>74100</v>
      </c>
      <c r="C27" s="73"/>
      <c r="D27" s="73">
        <f t="shared" si="3"/>
        <v>18525</v>
      </c>
      <c r="E27" s="73"/>
      <c r="F27" s="73">
        <f t="shared" si="0"/>
        <v>18525</v>
      </c>
      <c r="G27" s="73"/>
      <c r="H27" s="73">
        <f t="shared" si="1"/>
        <v>18525</v>
      </c>
      <c r="I27" s="73"/>
      <c r="J27" s="73">
        <f t="shared" si="2"/>
        <v>18525</v>
      </c>
    </row>
    <row r="28" spans="1:14">
      <c r="A28" s="72" t="s">
        <v>20</v>
      </c>
      <c r="B28" s="209">
        <v>66400</v>
      </c>
      <c r="C28" s="73"/>
      <c r="D28" s="73">
        <f t="shared" si="3"/>
        <v>16600</v>
      </c>
      <c r="E28" s="73"/>
      <c r="F28" s="73">
        <f t="shared" si="0"/>
        <v>16600</v>
      </c>
      <c r="G28" s="73"/>
      <c r="H28" s="73">
        <f t="shared" si="1"/>
        <v>16600</v>
      </c>
      <c r="I28" s="73"/>
      <c r="J28" s="73">
        <f t="shared" si="2"/>
        <v>16600</v>
      </c>
    </row>
    <row r="29" spans="1:14">
      <c r="A29" s="72" t="s">
        <v>21</v>
      </c>
      <c r="B29" s="210">
        <v>66900</v>
      </c>
      <c r="C29" s="73"/>
      <c r="D29" s="74">
        <f t="shared" si="3"/>
        <v>16725</v>
      </c>
      <c r="E29" s="73"/>
      <c r="F29" s="74">
        <f t="shared" si="0"/>
        <v>16725</v>
      </c>
      <c r="G29" s="73"/>
      <c r="H29" s="74">
        <f t="shared" si="1"/>
        <v>16725</v>
      </c>
      <c r="I29" s="73"/>
      <c r="J29" s="74">
        <f t="shared" si="2"/>
        <v>16725</v>
      </c>
    </row>
    <row r="30" spans="1:14" ht="9" customHeight="1">
      <c r="A30" s="72"/>
      <c r="B30" s="140"/>
      <c r="D30" s="64"/>
      <c r="E30" s="64"/>
      <c r="F30" s="64"/>
      <c r="G30" s="64"/>
      <c r="H30" s="64"/>
      <c r="I30" s="64"/>
    </row>
    <row r="31" spans="1:14" s="76" customFormat="1">
      <c r="A31" s="75" t="s">
        <v>36</v>
      </c>
      <c r="B31" s="141">
        <f>SUM(B7:B29)</f>
        <v>3526000</v>
      </c>
      <c r="C31" s="75"/>
      <c r="D31" s="75">
        <f>SUM(D7:D30)</f>
        <v>881500</v>
      </c>
      <c r="E31" s="75"/>
      <c r="F31" s="75">
        <f>SUM(F7:F30)</f>
        <v>881500</v>
      </c>
      <c r="G31" s="75"/>
      <c r="H31" s="75">
        <f>SUM(H7:H30)</f>
        <v>881500</v>
      </c>
      <c r="I31" s="75"/>
      <c r="J31" s="75">
        <f>SUM(J7:J30)</f>
        <v>881500</v>
      </c>
    </row>
    <row r="32" spans="1:14">
      <c r="A32" s="72"/>
      <c r="B32" s="64"/>
      <c r="D32" s="64"/>
      <c r="E32" s="64"/>
      <c r="F32" s="64"/>
      <c r="G32" s="64"/>
      <c r="H32" s="64"/>
      <c r="I32" s="64"/>
      <c r="L32" s="211"/>
      <c r="M32" s="211"/>
      <c r="N32" s="211"/>
    </row>
    <row r="33" spans="1:14">
      <c r="L33" s="212"/>
      <c r="M33" s="212"/>
      <c r="N33" s="212"/>
    </row>
    <row r="34" spans="1:14" ht="49.5" customHeight="1">
      <c r="A34" s="486" t="s">
        <v>86</v>
      </c>
      <c r="B34" s="487"/>
      <c r="C34" s="487"/>
      <c r="D34" s="487"/>
      <c r="E34" s="487"/>
      <c r="F34" s="487"/>
      <c r="G34" s="487"/>
      <c r="H34" s="487"/>
      <c r="I34" s="487"/>
      <c r="J34" s="487"/>
    </row>
    <row r="35" spans="1:14" ht="30.75" customHeight="1">
      <c r="A35" s="488" t="s">
        <v>73</v>
      </c>
      <c r="B35" s="488"/>
      <c r="C35" s="488"/>
      <c r="D35" s="488"/>
      <c r="E35" s="488"/>
      <c r="F35" s="488"/>
      <c r="G35" s="488"/>
      <c r="H35" s="488"/>
      <c r="I35" s="488"/>
      <c r="J35" s="488"/>
    </row>
  </sheetData>
  <mergeCells count="3">
    <mergeCell ref="D4:J4"/>
    <mergeCell ref="A34:J34"/>
    <mergeCell ref="A35:J35"/>
  </mergeCells>
  <pageMargins left="0.75" right="0.5" top="0.5" bottom="0.5" header="0.5" footer="0.5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72WVDYXX2UNK-1717399031-87</_dlc_DocId>
    <_dlc_DocIdUrl xmlns="30355ef0-b855-4ebb-a92a-a6c79f7573fd">
      <Url>https://www.calstate.edu/csu-system/about-the-csu/budget/_layouts/15/DocIdRedir.aspx?ID=72WVDYXX2UNK-1717399031-87</Url>
      <Description>72WVDYXX2UNK-1717399031-87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CD8D2BF-6748-41E9-8247-B3989B41F48D}"/>
</file>

<file path=customXml/itemProps2.xml><?xml version="1.0" encoding="utf-8"?>
<ds:datastoreItem xmlns:ds="http://schemas.openxmlformats.org/officeDocument/2006/customXml" ds:itemID="{EA7CD40D-FDCB-4FEF-B171-C4681B6F72FA}"/>
</file>

<file path=customXml/itemProps3.xml><?xml version="1.0" encoding="utf-8"?>
<ds:datastoreItem xmlns:ds="http://schemas.openxmlformats.org/officeDocument/2006/customXml" ds:itemID="{779EC467-8708-4BFD-8EA8-D33D8AA62A48}"/>
</file>

<file path=customXml/itemProps4.xml><?xml version="1.0" encoding="utf-8"?>
<ds:datastoreItem xmlns:ds="http://schemas.openxmlformats.org/officeDocument/2006/customXml" ds:itemID="{0157AA4E-9E0F-45E6-B512-1B553B9CB0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(A) Budget Summary</vt:lpstr>
      <vt:lpstr>(B) Base Bud Adj</vt:lpstr>
      <vt:lpstr>(C) 11-12 Expenditure Adjust.</vt:lpstr>
      <vt:lpstr>(D) Tuition Revenue</vt:lpstr>
      <vt:lpstr>(E) 2011-12 FTES </vt:lpstr>
      <vt:lpstr>(F) SUG </vt:lpstr>
      <vt:lpstr>(G) Interest Pymt Schedule</vt:lpstr>
      <vt:lpstr>'(A) Budget Summary'!Print_Area</vt:lpstr>
      <vt:lpstr>'(B) Base Bud Adj'!Print_Area</vt:lpstr>
      <vt:lpstr>'(C) 11-12 Expenditure Adjust.'!Print_Area</vt:lpstr>
      <vt:lpstr>'(D) Tuition Revenue'!Print_Area</vt:lpstr>
      <vt:lpstr>'(E) 2011-12 FTES '!Print_Area</vt:lpstr>
      <vt:lpstr>'(F) SUG '!Print_Area</vt:lpstr>
      <vt:lpstr>'(G) Interest Pymt Schedule'!Print_Area</vt:lpstr>
      <vt:lpstr>'(D) Tuition Revenue'!Print_Titles</vt:lpstr>
    </vt:vector>
  </TitlesOfParts>
  <Company>California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Rideau</dc:creator>
  <cp:lastModifiedBy>ccanfield</cp:lastModifiedBy>
  <cp:lastPrinted>2011-07-14T23:00:55Z</cp:lastPrinted>
  <dcterms:created xsi:type="dcterms:W3CDTF">2005-01-20T22:46:37Z</dcterms:created>
  <dcterms:modified xsi:type="dcterms:W3CDTF">2011-07-15T05:35:34Z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75046795-6829-43c2-b6be-c25491f87a3b</vt:lpwstr>
  </property>
</Properties>
</file>