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068" yWindow="-12" windowWidth="10104" windowHeight="8772" tabRatio="569"/>
  </bookViews>
  <sheets>
    <sheet name="(A) Budget Summary" sheetId="4" r:id="rId1"/>
    <sheet name="(B) Base Bud Adj" sheetId="3" r:id="rId2"/>
    <sheet name="(C) 12-13 Expenditure Adjust." sheetId="54" r:id="rId3"/>
    <sheet name="(D) Tuition Revenue" sheetId="52" r:id="rId4"/>
    <sheet name="(E) SUG " sheetId="51" r:id="rId5"/>
  </sheets>
  <definedNames>
    <definedName name="_xlnm.Print_Area" localSheetId="0">'(A) Budget Summary'!$A$1:$U$46</definedName>
    <definedName name="_xlnm.Print_Area" localSheetId="1">'(B) Base Bud Adj'!$A$1:$AA$47</definedName>
    <definedName name="_xlnm.Print_Area" localSheetId="2">'(C) 12-13 Expenditure Adjust.'!$A$1:$Z$42</definedName>
    <definedName name="_xlnm.Print_Area" localSheetId="3">'(D) Tuition Revenue'!$A$1:$U$45</definedName>
    <definedName name="_xlnm.Print_Area" localSheetId="4">'(E) SUG '!$A$1:$M$34</definedName>
    <definedName name="_xlnm.Print_Titles" localSheetId="3">'(D) Tuition Revenue'!$A:$A,'(D) Tuition Revenue'!$1:$4</definedName>
  </definedNames>
  <calcPr calcId="145621"/>
</workbook>
</file>

<file path=xl/calcChain.xml><?xml version="1.0" encoding="utf-8"?>
<calcChain xmlns="http://schemas.openxmlformats.org/spreadsheetml/2006/main">
  <c r="J35" i="54" l="1"/>
  <c r="L35" i="54" s="1"/>
  <c r="J36" i="54"/>
  <c r="L36" i="54"/>
  <c r="J37" i="54"/>
  <c r="L37" i="54" s="1"/>
  <c r="J38" i="54"/>
  <c r="L38" i="54"/>
  <c r="J39" i="54"/>
  <c r="L39" i="54" s="1"/>
  <c r="J40" i="54"/>
  <c r="L40" i="54"/>
  <c r="H35" i="54"/>
  <c r="H36" i="54"/>
  <c r="H37" i="54"/>
  <c r="H38" i="54"/>
  <c r="H40" i="54"/>
  <c r="B35" i="54"/>
  <c r="D35" i="54"/>
  <c r="B36" i="54"/>
  <c r="D36" i="54"/>
  <c r="B37" i="54"/>
  <c r="D37" i="54"/>
  <c r="B38" i="54"/>
  <c r="D38" i="54"/>
  <c r="B39" i="54"/>
  <c r="D39" i="54"/>
  <c r="B40" i="54"/>
  <c r="D40" i="54"/>
  <c r="T35" i="3"/>
  <c r="T36" i="3"/>
  <c r="T37" i="3"/>
  <c r="T38" i="3"/>
  <c r="T39" i="3"/>
  <c r="T40" i="3"/>
  <c r="R35" i="3"/>
  <c r="R36" i="3"/>
  <c r="R37" i="3"/>
  <c r="R38" i="3"/>
  <c r="R39" i="3"/>
  <c r="R40" i="3"/>
  <c r="H35" i="3"/>
  <c r="H36" i="3"/>
  <c r="H37" i="3"/>
  <c r="H38" i="3"/>
  <c r="H39" i="3"/>
  <c r="H40" i="3"/>
  <c r="B35" i="3"/>
  <c r="B36" i="3"/>
  <c r="B37" i="3"/>
  <c r="B38" i="3"/>
  <c r="B39" i="3"/>
  <c r="B40" i="3"/>
  <c r="F38" i="3"/>
  <c r="S36" i="4"/>
  <c r="T36" i="4"/>
  <c r="S37" i="4"/>
  <c r="T37" i="4"/>
  <c r="S38" i="4"/>
  <c r="T38" i="4"/>
  <c r="S39" i="4"/>
  <c r="T39" i="4"/>
  <c r="S40" i="4"/>
  <c r="T40" i="4"/>
  <c r="S41" i="4"/>
  <c r="T41" i="4"/>
  <c r="O36" i="4"/>
  <c r="O37" i="4"/>
  <c r="O38" i="4"/>
  <c r="O39" i="4"/>
  <c r="O40" i="4"/>
  <c r="O41" i="4"/>
  <c r="E37" i="52" l="1"/>
  <c r="J36" i="4" l="1"/>
  <c r="J37" i="4"/>
  <c r="J38" i="4"/>
  <c r="J40" i="4"/>
  <c r="R34" i="3"/>
  <c r="R10" i="3"/>
  <c r="R11" i="3"/>
  <c r="R12" i="3"/>
  <c r="R13" i="3"/>
  <c r="R14" i="3"/>
  <c r="R15" i="3"/>
  <c r="R16" i="3"/>
  <c r="R17" i="3"/>
  <c r="R19" i="3"/>
  <c r="R20" i="3"/>
  <c r="R21" i="3"/>
  <c r="R22" i="3"/>
  <c r="R23" i="3"/>
  <c r="R24" i="3"/>
  <c r="R25" i="3"/>
  <c r="R26" i="3"/>
  <c r="R27" i="3"/>
  <c r="R28" i="3"/>
  <c r="R29" i="3"/>
  <c r="R30" i="3"/>
  <c r="R8" i="3"/>
  <c r="X40" i="54"/>
  <c r="L41" i="4" s="1"/>
  <c r="AA40" i="3" l="1"/>
  <c r="AA39" i="3"/>
  <c r="AA38" i="3"/>
  <c r="AA37" i="3"/>
  <c r="AA36" i="3"/>
  <c r="AA35" i="3"/>
  <c r="AA34" i="3"/>
  <c r="Y32" i="3"/>
  <c r="Y42" i="3" s="1"/>
  <c r="W32" i="3"/>
  <c r="W42" i="3" s="1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X8" i="3"/>
  <c r="X32" i="3" s="1"/>
  <c r="X42" i="3" s="1"/>
  <c r="X39" i="54"/>
  <c r="L40" i="4" s="1"/>
  <c r="R40" i="4" s="1"/>
  <c r="U40" i="4" s="1"/>
  <c r="AA8" i="3" l="1"/>
  <c r="AA32" i="3" s="1"/>
  <c r="AA42" i="3" s="1"/>
  <c r="J38" i="3"/>
  <c r="J32" i="3"/>
  <c r="D18" i="3"/>
  <c r="R18" i="3" s="1"/>
  <c r="D9" i="3"/>
  <c r="R9" i="3" s="1"/>
  <c r="J42" i="3" l="1"/>
  <c r="M38" i="3" l="1"/>
  <c r="V35" i="54" l="1"/>
  <c r="V36" i="54"/>
  <c r="V37" i="54"/>
  <c r="V38" i="54"/>
  <c r="V34" i="54"/>
  <c r="Z39" i="54" l="1"/>
  <c r="B8" i="3"/>
  <c r="H8" i="3" l="1"/>
  <c r="T8" i="3"/>
  <c r="T35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10" i="4"/>
  <c r="T9" i="4"/>
  <c r="T33" i="4" l="1"/>
  <c r="T43" i="4" s="1"/>
  <c r="V45" i="54"/>
  <c r="G40" i="4" l="1"/>
  <c r="G41" i="4"/>
  <c r="P39" i="54" l="1"/>
  <c r="M3" i="3"/>
  <c r="J3" i="3"/>
  <c r="J39" i="4" l="1"/>
  <c r="G36" i="4" l="1"/>
  <c r="G37" i="4"/>
  <c r="G38" i="4"/>
  <c r="G39" i="4"/>
  <c r="G3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10" i="4"/>
  <c r="G9" i="4"/>
  <c r="M37" i="52" l="1"/>
  <c r="M36" i="52"/>
  <c r="M35" i="52"/>
  <c r="M38" i="52"/>
  <c r="M34" i="52"/>
  <c r="F32" i="3" l="1"/>
  <c r="F42" i="3" s="1"/>
  <c r="Q37" i="52" l="1"/>
  <c r="Q36" i="52"/>
  <c r="Q35" i="52"/>
  <c r="Q38" i="52"/>
  <c r="Q34" i="52"/>
  <c r="Q10" i="52"/>
  <c r="Q11" i="52"/>
  <c r="Q12" i="52"/>
  <c r="Q13" i="52"/>
  <c r="Q14" i="52"/>
  <c r="Q15" i="52"/>
  <c r="Q16" i="52"/>
  <c r="Q17" i="52"/>
  <c r="Q18" i="52"/>
  <c r="Q19" i="52"/>
  <c r="Q20" i="52"/>
  <c r="Q21" i="52"/>
  <c r="Q22" i="52"/>
  <c r="Q23" i="52"/>
  <c r="Q24" i="52"/>
  <c r="Q25" i="52"/>
  <c r="Q26" i="52"/>
  <c r="Q27" i="52"/>
  <c r="Q28" i="52"/>
  <c r="Q29" i="52"/>
  <c r="Q30" i="52"/>
  <c r="Q9" i="52"/>
  <c r="Q8" i="52"/>
  <c r="O37" i="52"/>
  <c r="O36" i="52"/>
  <c r="O35" i="52"/>
  <c r="O38" i="52"/>
  <c r="O34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29" i="52"/>
  <c r="O30" i="52"/>
  <c r="O9" i="52"/>
  <c r="O8" i="52"/>
  <c r="N37" i="52"/>
  <c r="N36" i="52"/>
  <c r="S36" i="52" s="1"/>
  <c r="N35" i="52"/>
  <c r="S35" i="52" s="1"/>
  <c r="N38" i="52"/>
  <c r="S38" i="52" s="1"/>
  <c r="N34" i="52"/>
  <c r="S34" i="52" s="1"/>
  <c r="O35" i="4" s="1"/>
  <c r="S35" i="4" s="1"/>
  <c r="J34" i="54" s="1"/>
  <c r="N10" i="52"/>
  <c r="S10" i="52" s="1"/>
  <c r="O11" i="4" s="1"/>
  <c r="S11" i="4" s="1"/>
  <c r="N11" i="52"/>
  <c r="S11" i="52" s="1"/>
  <c r="O12" i="4" s="1"/>
  <c r="S12" i="4" s="1"/>
  <c r="N12" i="52"/>
  <c r="S12" i="52" s="1"/>
  <c r="O13" i="4" s="1"/>
  <c r="S13" i="4" s="1"/>
  <c r="N13" i="52"/>
  <c r="S13" i="52" s="1"/>
  <c r="O14" i="4" s="1"/>
  <c r="S14" i="4" s="1"/>
  <c r="N14" i="52"/>
  <c r="S14" i="52" s="1"/>
  <c r="O15" i="4" s="1"/>
  <c r="S15" i="4" s="1"/>
  <c r="N15" i="52"/>
  <c r="S15" i="52" s="1"/>
  <c r="O16" i="4" s="1"/>
  <c r="S16" i="4" s="1"/>
  <c r="N16" i="52"/>
  <c r="S16" i="52" s="1"/>
  <c r="O17" i="4" s="1"/>
  <c r="S17" i="4" s="1"/>
  <c r="N17" i="52"/>
  <c r="S17" i="52" s="1"/>
  <c r="O18" i="4" s="1"/>
  <c r="S18" i="4" s="1"/>
  <c r="N18" i="52"/>
  <c r="S18" i="52" s="1"/>
  <c r="O19" i="4" s="1"/>
  <c r="S19" i="4" s="1"/>
  <c r="N19" i="52"/>
  <c r="S19" i="52" s="1"/>
  <c r="O20" i="4" s="1"/>
  <c r="S20" i="4" s="1"/>
  <c r="N20" i="52"/>
  <c r="S20" i="52" s="1"/>
  <c r="O21" i="4" s="1"/>
  <c r="S21" i="4" s="1"/>
  <c r="N21" i="52"/>
  <c r="S21" i="52" s="1"/>
  <c r="O22" i="4" s="1"/>
  <c r="S22" i="4" s="1"/>
  <c r="N22" i="52"/>
  <c r="S22" i="52" s="1"/>
  <c r="O23" i="4" s="1"/>
  <c r="S23" i="4" s="1"/>
  <c r="N23" i="52"/>
  <c r="S23" i="52" s="1"/>
  <c r="O24" i="4" s="1"/>
  <c r="S24" i="4" s="1"/>
  <c r="N24" i="52"/>
  <c r="S24" i="52" s="1"/>
  <c r="O25" i="4" s="1"/>
  <c r="S25" i="4" s="1"/>
  <c r="N25" i="52"/>
  <c r="S25" i="52" s="1"/>
  <c r="O26" i="4" s="1"/>
  <c r="S26" i="4" s="1"/>
  <c r="N26" i="52"/>
  <c r="S26" i="52" s="1"/>
  <c r="O27" i="4" s="1"/>
  <c r="S27" i="4" s="1"/>
  <c r="N27" i="52"/>
  <c r="S27" i="52" s="1"/>
  <c r="O28" i="4" s="1"/>
  <c r="S28" i="4" s="1"/>
  <c r="N28" i="52"/>
  <c r="S28" i="52" s="1"/>
  <c r="O29" i="4" s="1"/>
  <c r="S29" i="4" s="1"/>
  <c r="N29" i="52"/>
  <c r="S29" i="52" s="1"/>
  <c r="O30" i="4" s="1"/>
  <c r="S30" i="4" s="1"/>
  <c r="N30" i="52"/>
  <c r="S30" i="52" s="1"/>
  <c r="O31" i="4" s="1"/>
  <c r="S31" i="4" s="1"/>
  <c r="N9" i="52"/>
  <c r="N8" i="52"/>
  <c r="S8" i="52" s="1"/>
  <c r="O9" i="4" s="1"/>
  <c r="S9" i="4" s="1"/>
  <c r="K38" i="52"/>
  <c r="K35" i="52"/>
  <c r="K36" i="52"/>
  <c r="K37" i="52"/>
  <c r="K34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P37" i="52"/>
  <c r="E36" i="52"/>
  <c r="E35" i="52"/>
  <c r="E38" i="52"/>
  <c r="E34" i="52"/>
  <c r="P34" i="52" s="1"/>
  <c r="E10" i="52"/>
  <c r="P10" i="52" s="1"/>
  <c r="E11" i="52"/>
  <c r="P11" i="52" s="1"/>
  <c r="E12" i="52"/>
  <c r="P12" i="52" s="1"/>
  <c r="E13" i="52"/>
  <c r="P13" i="52" s="1"/>
  <c r="E14" i="52"/>
  <c r="P14" i="52" s="1"/>
  <c r="E15" i="52"/>
  <c r="P15" i="52" s="1"/>
  <c r="E16" i="52"/>
  <c r="P16" i="52" s="1"/>
  <c r="E17" i="52"/>
  <c r="P17" i="52" s="1"/>
  <c r="E18" i="52"/>
  <c r="P18" i="52" s="1"/>
  <c r="E19" i="52"/>
  <c r="P19" i="52" s="1"/>
  <c r="E20" i="52"/>
  <c r="P20" i="52" s="1"/>
  <c r="E21" i="52"/>
  <c r="P21" i="52" s="1"/>
  <c r="E22" i="52"/>
  <c r="P22" i="52" s="1"/>
  <c r="E23" i="52"/>
  <c r="P23" i="52" s="1"/>
  <c r="E24" i="52"/>
  <c r="P24" i="52" s="1"/>
  <c r="E25" i="52"/>
  <c r="P25" i="52" s="1"/>
  <c r="E26" i="52"/>
  <c r="P26" i="52" s="1"/>
  <c r="E27" i="52"/>
  <c r="P27" i="52" s="1"/>
  <c r="E28" i="52"/>
  <c r="P28" i="52" s="1"/>
  <c r="E29" i="52"/>
  <c r="P29" i="52" s="1"/>
  <c r="E30" i="52"/>
  <c r="P30" i="52" s="1"/>
  <c r="E9" i="52"/>
  <c r="P9" i="52" s="1"/>
  <c r="E8" i="52"/>
  <c r="P8" i="52" s="1"/>
  <c r="G37" i="52"/>
  <c r="R37" i="52" s="1"/>
  <c r="G36" i="52"/>
  <c r="R36" i="52" s="1"/>
  <c r="G35" i="52"/>
  <c r="R35" i="52" s="1"/>
  <c r="G38" i="52"/>
  <c r="R38" i="52" s="1"/>
  <c r="G34" i="52"/>
  <c r="R34" i="52" s="1"/>
  <c r="I32" i="52"/>
  <c r="I42" i="52" s="1"/>
  <c r="C32" i="52"/>
  <c r="C42" i="52" s="1"/>
  <c r="P35" i="52" l="1"/>
  <c r="J8" i="54"/>
  <c r="J28" i="54"/>
  <c r="J24" i="54"/>
  <c r="J18" i="54"/>
  <c r="J12" i="54"/>
  <c r="J30" i="54"/>
  <c r="J26" i="54"/>
  <c r="J22" i="54"/>
  <c r="J20" i="54"/>
  <c r="J16" i="54"/>
  <c r="J14" i="54"/>
  <c r="J10" i="54"/>
  <c r="J29" i="54"/>
  <c r="J27" i="54"/>
  <c r="J25" i="54"/>
  <c r="J23" i="54"/>
  <c r="J21" i="54"/>
  <c r="J19" i="54"/>
  <c r="J17" i="54"/>
  <c r="J15" i="54"/>
  <c r="J13" i="54"/>
  <c r="J11" i="54"/>
  <c r="K32" i="52"/>
  <c r="S9" i="52"/>
  <c r="O10" i="4" s="1"/>
  <c r="S10" i="4" s="1"/>
  <c r="P38" i="52"/>
  <c r="P36" i="52"/>
  <c r="T36" i="52" s="1"/>
  <c r="K42" i="52"/>
  <c r="S37" i="52"/>
  <c r="T38" i="52"/>
  <c r="X38" i="54" s="1"/>
  <c r="L39" i="4" s="1"/>
  <c r="R39" i="4" s="1"/>
  <c r="U39" i="4" s="1"/>
  <c r="T34" i="52"/>
  <c r="D34" i="54" s="1"/>
  <c r="X34" i="54" s="1"/>
  <c r="L35" i="4" s="1"/>
  <c r="T35" i="52"/>
  <c r="X37" i="54" s="1"/>
  <c r="L38" i="4" s="1"/>
  <c r="R38" i="4" s="1"/>
  <c r="U38" i="4" s="1"/>
  <c r="T37" i="52"/>
  <c r="X35" i="54" s="1"/>
  <c r="L36" i="4" s="1"/>
  <c r="R36" i="4" s="1"/>
  <c r="U36" i="4" s="1"/>
  <c r="F32" i="52"/>
  <c r="F42" i="52" s="1"/>
  <c r="L32" i="52"/>
  <c r="J32" i="52"/>
  <c r="J42" i="52" s="1"/>
  <c r="H32" i="52"/>
  <c r="H42" i="52" s="1"/>
  <c r="E32" i="52"/>
  <c r="E42" i="52" s="1"/>
  <c r="D32" i="52"/>
  <c r="D42" i="52" s="1"/>
  <c r="B32" i="52"/>
  <c r="B42" i="52" s="1"/>
  <c r="M30" i="52"/>
  <c r="G30" i="52"/>
  <c r="M29" i="52"/>
  <c r="G29" i="52"/>
  <c r="M28" i="52"/>
  <c r="G28" i="52"/>
  <c r="M27" i="52"/>
  <c r="G27" i="52"/>
  <c r="M26" i="52"/>
  <c r="G26" i="52"/>
  <c r="M25" i="52"/>
  <c r="G25" i="52"/>
  <c r="M24" i="52"/>
  <c r="G24" i="52"/>
  <c r="M23" i="52"/>
  <c r="G23" i="52"/>
  <c r="M22" i="52"/>
  <c r="G22" i="52"/>
  <c r="M21" i="52"/>
  <c r="G21" i="52"/>
  <c r="M20" i="52"/>
  <c r="G20" i="52"/>
  <c r="M19" i="52"/>
  <c r="G19" i="52"/>
  <c r="R19" i="52" s="1"/>
  <c r="T19" i="52" s="1"/>
  <c r="D19" i="54" s="1"/>
  <c r="M18" i="52"/>
  <c r="G18" i="52"/>
  <c r="R18" i="52" s="1"/>
  <c r="T18" i="52" s="1"/>
  <c r="D18" i="54" s="1"/>
  <c r="M17" i="52"/>
  <c r="G17" i="52"/>
  <c r="R17" i="52" s="1"/>
  <c r="T17" i="52" s="1"/>
  <c r="D17" i="54" s="1"/>
  <c r="M16" i="52"/>
  <c r="G16" i="52"/>
  <c r="R16" i="52" s="1"/>
  <c r="T16" i="52" s="1"/>
  <c r="D16" i="54" s="1"/>
  <c r="M15" i="52"/>
  <c r="G15" i="52"/>
  <c r="R15" i="52" s="1"/>
  <c r="T15" i="52" s="1"/>
  <c r="D15" i="54" s="1"/>
  <c r="M14" i="52"/>
  <c r="G14" i="52"/>
  <c r="R14" i="52" s="1"/>
  <c r="T14" i="52" s="1"/>
  <c r="D14" i="54" s="1"/>
  <c r="M13" i="52"/>
  <c r="G13" i="52"/>
  <c r="R13" i="52" s="1"/>
  <c r="T13" i="52" s="1"/>
  <c r="D13" i="54" s="1"/>
  <c r="M12" i="52"/>
  <c r="G12" i="52"/>
  <c r="R12" i="52" s="1"/>
  <c r="T12" i="52" s="1"/>
  <c r="D12" i="54" s="1"/>
  <c r="M11" i="52"/>
  <c r="G11" i="52"/>
  <c r="R11" i="52" s="1"/>
  <c r="T11" i="52" s="1"/>
  <c r="D11" i="54" s="1"/>
  <c r="M10" i="52"/>
  <c r="G10" i="52"/>
  <c r="R10" i="52" s="1"/>
  <c r="T10" i="52" s="1"/>
  <c r="D10" i="54" s="1"/>
  <c r="M9" i="52"/>
  <c r="G9" i="52"/>
  <c r="R9" i="52" s="1"/>
  <c r="T9" i="52" s="1"/>
  <c r="D9" i="54" s="1"/>
  <c r="M8" i="52"/>
  <c r="G8" i="52"/>
  <c r="X36" i="54" l="1"/>
  <c r="L37" i="4" s="1"/>
  <c r="R37" i="4" s="1"/>
  <c r="U37" i="4" s="1"/>
  <c r="U36" i="52"/>
  <c r="J9" i="54"/>
  <c r="J32" i="54" s="1"/>
  <c r="J42" i="54" s="1"/>
  <c r="U9" i="52"/>
  <c r="U12" i="52"/>
  <c r="U35" i="52"/>
  <c r="S33" i="4"/>
  <c r="S43" i="4" s="1"/>
  <c r="R8" i="52"/>
  <c r="T8" i="52" s="1"/>
  <c r="U10" i="52"/>
  <c r="U11" i="52"/>
  <c r="U13" i="52"/>
  <c r="U14" i="52"/>
  <c r="U15" i="52"/>
  <c r="U16" i="52"/>
  <c r="U17" i="52"/>
  <c r="U18" i="52"/>
  <c r="U19" i="52"/>
  <c r="R20" i="52"/>
  <c r="T20" i="52" s="1"/>
  <c r="D20" i="54" s="1"/>
  <c r="R21" i="52"/>
  <c r="T21" i="52" s="1"/>
  <c r="D21" i="54" s="1"/>
  <c r="R22" i="52"/>
  <c r="T22" i="52" s="1"/>
  <c r="D22" i="54" s="1"/>
  <c r="R23" i="52"/>
  <c r="T23" i="52" s="1"/>
  <c r="D23" i="54" s="1"/>
  <c r="R24" i="52"/>
  <c r="T24" i="52" s="1"/>
  <c r="D24" i="54" s="1"/>
  <c r="R25" i="52"/>
  <c r="T25" i="52" s="1"/>
  <c r="D25" i="54" s="1"/>
  <c r="R26" i="52"/>
  <c r="T26" i="52" s="1"/>
  <c r="D26" i="54" s="1"/>
  <c r="R27" i="52"/>
  <c r="T27" i="52" s="1"/>
  <c r="D27" i="54" s="1"/>
  <c r="R28" i="52"/>
  <c r="T28" i="52" s="1"/>
  <c r="D28" i="54" s="1"/>
  <c r="R29" i="52"/>
  <c r="T29" i="52" s="1"/>
  <c r="D29" i="54" s="1"/>
  <c r="R30" i="52"/>
  <c r="T30" i="52" s="1"/>
  <c r="D30" i="54" s="1"/>
  <c r="U37" i="52"/>
  <c r="U34" i="52"/>
  <c r="U38" i="52"/>
  <c r="P32" i="52"/>
  <c r="P42" i="52" s="1"/>
  <c r="G32" i="52"/>
  <c r="G42" i="52" s="1"/>
  <c r="M32" i="52"/>
  <c r="M42" i="52" s="1"/>
  <c r="N32" i="52"/>
  <c r="N42" i="52" s="1"/>
  <c r="O32" i="52"/>
  <c r="O42" i="52" s="1"/>
  <c r="Q32" i="52"/>
  <c r="D8" i="54" l="1"/>
  <c r="D32" i="54" s="1"/>
  <c r="D42" i="54" s="1"/>
  <c r="U8" i="52"/>
  <c r="J35" i="4"/>
  <c r="R35" i="4" s="1"/>
  <c r="U35" i="4" s="1"/>
  <c r="U30" i="52"/>
  <c r="U28" i="52"/>
  <c r="U26" i="52"/>
  <c r="U24" i="52"/>
  <c r="U22" i="52"/>
  <c r="U20" i="52"/>
  <c r="U29" i="52"/>
  <c r="U27" i="52"/>
  <c r="U25" i="52"/>
  <c r="U23" i="52"/>
  <c r="U21" i="52"/>
  <c r="R32" i="52"/>
  <c r="R42" i="52" s="1"/>
  <c r="Q42" i="52"/>
  <c r="U32" i="52"/>
  <c r="U42" i="52" s="1"/>
  <c r="S32" i="52"/>
  <c r="S42" i="52" s="1"/>
  <c r="T32" i="52"/>
  <c r="T42" i="52" s="1"/>
  <c r="L42" i="52"/>
  <c r="C32" i="51" l="1"/>
  <c r="D9" i="51" l="1"/>
  <c r="D11" i="51"/>
  <c r="D13" i="51"/>
  <c r="D15" i="51"/>
  <c r="D17" i="51"/>
  <c r="D19" i="51"/>
  <c r="D21" i="51"/>
  <c r="D23" i="51"/>
  <c r="D25" i="51"/>
  <c r="D27" i="51"/>
  <c r="D29" i="51"/>
  <c r="D8" i="51"/>
  <c r="D10" i="51"/>
  <c r="D12" i="51"/>
  <c r="D14" i="51"/>
  <c r="D16" i="51"/>
  <c r="D18" i="51"/>
  <c r="D20" i="51"/>
  <c r="D22" i="51"/>
  <c r="D24" i="51"/>
  <c r="D26" i="51"/>
  <c r="D28" i="51"/>
  <c r="D30" i="51"/>
  <c r="G32" i="51"/>
  <c r="E32" i="51"/>
  <c r="H11" i="51" l="1"/>
  <c r="H15" i="51"/>
  <c r="H19" i="51"/>
  <c r="H23" i="51"/>
  <c r="H27" i="51"/>
  <c r="H29" i="51"/>
  <c r="H8" i="51"/>
  <c r="J8" i="51" s="1"/>
  <c r="I8" i="51" s="1"/>
  <c r="H12" i="51"/>
  <c r="H16" i="51"/>
  <c r="H20" i="51"/>
  <c r="J20" i="51" s="1"/>
  <c r="I20" i="51" s="1"/>
  <c r="H24" i="51"/>
  <c r="H28" i="51"/>
  <c r="H9" i="51"/>
  <c r="H13" i="51"/>
  <c r="H17" i="51"/>
  <c r="J17" i="51" s="1"/>
  <c r="I17" i="51" s="1"/>
  <c r="H21" i="51"/>
  <c r="H25" i="51"/>
  <c r="H10" i="51"/>
  <c r="H14" i="51"/>
  <c r="H18" i="51"/>
  <c r="H22" i="51"/>
  <c r="H26" i="51"/>
  <c r="H30" i="51"/>
  <c r="F10" i="51"/>
  <c r="F14" i="51"/>
  <c r="F18" i="51"/>
  <c r="F22" i="51"/>
  <c r="F26" i="51"/>
  <c r="F30" i="51"/>
  <c r="F11" i="51"/>
  <c r="F15" i="51"/>
  <c r="F19" i="51"/>
  <c r="F23" i="51"/>
  <c r="F27" i="51"/>
  <c r="F12" i="51"/>
  <c r="F16" i="51"/>
  <c r="F20" i="51"/>
  <c r="F24" i="51"/>
  <c r="F28" i="51"/>
  <c r="F8" i="51"/>
  <c r="F9" i="51"/>
  <c r="F13" i="51"/>
  <c r="F17" i="51"/>
  <c r="F21" i="51"/>
  <c r="F25" i="51"/>
  <c r="F29" i="51"/>
  <c r="J21" i="51"/>
  <c r="I21" i="51" s="1"/>
  <c r="J18" i="51"/>
  <c r="I18" i="51" s="1"/>
  <c r="J28" i="51"/>
  <c r="I28" i="51" s="1"/>
  <c r="D32" i="51"/>
  <c r="N8" i="54"/>
  <c r="J26" i="51"/>
  <c r="I26" i="51" s="1"/>
  <c r="J29" i="51"/>
  <c r="I29" i="51" s="1"/>
  <c r="J9" i="51"/>
  <c r="I9" i="51" s="1"/>
  <c r="J14" i="51"/>
  <c r="I14" i="51" s="1"/>
  <c r="J25" i="51"/>
  <c r="I25" i="51" s="1"/>
  <c r="J30" i="51"/>
  <c r="I30" i="51" s="1"/>
  <c r="J23" i="51"/>
  <c r="I23" i="51" s="1"/>
  <c r="J12" i="51"/>
  <c r="I12" i="51" s="1"/>
  <c r="J19" i="51"/>
  <c r="I19" i="51" s="1"/>
  <c r="J27" i="51"/>
  <c r="I27" i="51" s="1"/>
  <c r="J11" i="51"/>
  <c r="I11" i="51" s="1"/>
  <c r="J16" i="51"/>
  <c r="I16" i="51" s="1"/>
  <c r="J24" i="51"/>
  <c r="I24" i="51" s="1"/>
  <c r="J13" i="51"/>
  <c r="I13" i="51" s="1"/>
  <c r="J22" i="51"/>
  <c r="I22" i="51" s="1"/>
  <c r="J10" i="51"/>
  <c r="I10" i="51" s="1"/>
  <c r="J15" i="51"/>
  <c r="I15" i="51" s="1"/>
  <c r="L8" i="51" l="1"/>
  <c r="F8" i="54" s="1"/>
  <c r="N9" i="54"/>
  <c r="L9" i="51"/>
  <c r="F9" i="54" s="1"/>
  <c r="N23" i="54"/>
  <c r="L23" i="51"/>
  <c r="F23" i="54" s="1"/>
  <c r="N15" i="54"/>
  <c r="L15" i="51"/>
  <c r="F15" i="54" s="1"/>
  <c r="N30" i="54"/>
  <c r="L30" i="51"/>
  <c r="F30" i="54" s="1"/>
  <c r="N22" i="54"/>
  <c r="L22" i="51"/>
  <c r="F22" i="54" s="1"/>
  <c r="L14" i="51"/>
  <c r="F14" i="54" s="1"/>
  <c r="N14" i="54"/>
  <c r="N25" i="54"/>
  <c r="L25" i="51"/>
  <c r="F25" i="54" s="1"/>
  <c r="N17" i="54"/>
  <c r="L17" i="51"/>
  <c r="F17" i="54" s="1"/>
  <c r="N10" i="54"/>
  <c r="L10" i="51"/>
  <c r="F10" i="54" s="1"/>
  <c r="N24" i="54"/>
  <c r="L24" i="51"/>
  <c r="F24" i="54" s="1"/>
  <c r="N16" i="54"/>
  <c r="L16" i="51"/>
  <c r="F16" i="54" s="1"/>
  <c r="N27" i="54"/>
  <c r="L27" i="51"/>
  <c r="F27" i="54" s="1"/>
  <c r="N19" i="54"/>
  <c r="L19" i="51"/>
  <c r="F19" i="54" s="1"/>
  <c r="N11" i="54"/>
  <c r="L11" i="51"/>
  <c r="F11" i="54" s="1"/>
  <c r="N26" i="54"/>
  <c r="L26" i="51"/>
  <c r="F26" i="54" s="1"/>
  <c r="N18" i="54"/>
  <c r="L18" i="51"/>
  <c r="F18" i="54" s="1"/>
  <c r="N29" i="54"/>
  <c r="L29" i="51"/>
  <c r="F29" i="54" s="1"/>
  <c r="N21" i="54"/>
  <c r="L21" i="51"/>
  <c r="F21" i="54" s="1"/>
  <c r="N13" i="54"/>
  <c r="L13" i="51"/>
  <c r="F13" i="54" s="1"/>
  <c r="N28" i="54"/>
  <c r="L28" i="51"/>
  <c r="F28" i="54" s="1"/>
  <c r="N20" i="54"/>
  <c r="L20" i="51"/>
  <c r="F20" i="54" s="1"/>
  <c r="N12" i="54"/>
  <c r="L12" i="51"/>
  <c r="F12" i="54" s="1"/>
  <c r="H32" i="51"/>
  <c r="F32" i="51"/>
  <c r="J32" i="51"/>
  <c r="F32" i="54" l="1"/>
  <c r="F42" i="54" s="1"/>
  <c r="I32" i="51"/>
  <c r="L32" i="51" l="1"/>
  <c r="O3" i="3" l="1"/>
  <c r="O34" i="3" l="1"/>
  <c r="B34" i="3"/>
  <c r="T34" i="3" s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9" i="3"/>
  <c r="H28" i="3" l="1"/>
  <c r="T28" i="3"/>
  <c r="H24" i="3"/>
  <c r="T24" i="3"/>
  <c r="H20" i="3"/>
  <c r="T20" i="3"/>
  <c r="H16" i="3"/>
  <c r="T16" i="3"/>
  <c r="H12" i="3"/>
  <c r="T12" i="3"/>
  <c r="H9" i="3"/>
  <c r="T9" i="3"/>
  <c r="H19" i="3"/>
  <c r="T19" i="3"/>
  <c r="H15" i="3"/>
  <c r="T15" i="3"/>
  <c r="H11" i="3"/>
  <c r="T11" i="3"/>
  <c r="H27" i="3"/>
  <c r="T27" i="3"/>
  <c r="H23" i="3"/>
  <c r="T23" i="3"/>
  <c r="H30" i="3"/>
  <c r="T30" i="3"/>
  <c r="H26" i="3"/>
  <c r="T26" i="3"/>
  <c r="H22" i="3"/>
  <c r="T22" i="3"/>
  <c r="H18" i="3"/>
  <c r="T18" i="3"/>
  <c r="H14" i="3"/>
  <c r="T14" i="3"/>
  <c r="H10" i="3"/>
  <c r="T10" i="3"/>
  <c r="H29" i="3"/>
  <c r="T29" i="3"/>
  <c r="H25" i="3"/>
  <c r="T25" i="3"/>
  <c r="H21" i="3"/>
  <c r="T21" i="3"/>
  <c r="H17" i="3"/>
  <c r="T17" i="3"/>
  <c r="H13" i="3"/>
  <c r="T13" i="3"/>
  <c r="H34" i="3"/>
  <c r="F33" i="4"/>
  <c r="F43" i="4" s="1"/>
  <c r="E33" i="4"/>
  <c r="B34" i="54" l="1"/>
  <c r="B10" i="54"/>
  <c r="B12" i="54"/>
  <c r="B14" i="54"/>
  <c r="B16" i="54"/>
  <c r="B26" i="54"/>
  <c r="B28" i="54"/>
  <c r="B30" i="54"/>
  <c r="B8" i="54"/>
  <c r="M40" i="3"/>
  <c r="B11" i="54"/>
  <c r="B13" i="54"/>
  <c r="B15" i="54"/>
  <c r="B25" i="54"/>
  <c r="B27" i="54"/>
  <c r="B29" i="54"/>
  <c r="E43" i="4"/>
  <c r="C43" i="4"/>
  <c r="P38" i="54" l="1"/>
  <c r="Z38" i="54"/>
  <c r="H29" i="54"/>
  <c r="L29" i="54" s="1"/>
  <c r="P29" i="54" s="1"/>
  <c r="H25" i="54"/>
  <c r="L25" i="54" s="1"/>
  <c r="P25" i="54" s="1"/>
  <c r="H13" i="54"/>
  <c r="L13" i="54" s="1"/>
  <c r="P13" i="54" s="1"/>
  <c r="H30" i="54"/>
  <c r="L30" i="54" s="1"/>
  <c r="P30" i="54" s="1"/>
  <c r="H26" i="54"/>
  <c r="L26" i="54" s="1"/>
  <c r="P26" i="54" s="1"/>
  <c r="H14" i="54"/>
  <c r="L14" i="54" s="1"/>
  <c r="P14" i="54" s="1"/>
  <c r="H10" i="54"/>
  <c r="L10" i="54" s="1"/>
  <c r="P10" i="54" s="1"/>
  <c r="H34" i="54"/>
  <c r="L34" i="54" s="1"/>
  <c r="P34" i="54" s="1"/>
  <c r="Z34" i="54"/>
  <c r="P36" i="54"/>
  <c r="Z36" i="54"/>
  <c r="H27" i="54"/>
  <c r="L27" i="54" s="1"/>
  <c r="P27" i="54" s="1"/>
  <c r="H15" i="54"/>
  <c r="L15" i="54" s="1"/>
  <c r="P15" i="54" s="1"/>
  <c r="H11" i="54"/>
  <c r="L11" i="54" s="1"/>
  <c r="P11" i="54" s="1"/>
  <c r="H28" i="54"/>
  <c r="L28" i="54" s="1"/>
  <c r="P28" i="54" s="1"/>
  <c r="H16" i="54"/>
  <c r="L16" i="54" s="1"/>
  <c r="P16" i="54" s="1"/>
  <c r="H12" i="54"/>
  <c r="L12" i="54" s="1"/>
  <c r="P12" i="54" s="1"/>
  <c r="P37" i="54"/>
  <c r="Z37" i="54"/>
  <c r="P35" i="54"/>
  <c r="Z35" i="54"/>
  <c r="H8" i="54"/>
  <c r="J20" i="4"/>
  <c r="B19" i="54"/>
  <c r="J25" i="4"/>
  <c r="B24" i="54"/>
  <c r="J10" i="4"/>
  <c r="B9" i="54"/>
  <c r="J24" i="4"/>
  <c r="B23" i="54"/>
  <c r="J21" i="4"/>
  <c r="B20" i="54"/>
  <c r="J22" i="4"/>
  <c r="B21" i="54"/>
  <c r="J18" i="4"/>
  <c r="B17" i="54"/>
  <c r="J23" i="4"/>
  <c r="B22" i="54"/>
  <c r="J19" i="4"/>
  <c r="B18" i="54"/>
  <c r="J28" i="4"/>
  <c r="J16" i="4"/>
  <c r="J12" i="4"/>
  <c r="J9" i="4"/>
  <c r="J29" i="4"/>
  <c r="J17" i="4"/>
  <c r="J13" i="4"/>
  <c r="J30" i="4"/>
  <c r="J26" i="4"/>
  <c r="J14" i="4"/>
  <c r="J31" i="4"/>
  <c r="J27" i="4"/>
  <c r="J15" i="4"/>
  <c r="J11" i="4"/>
  <c r="M32" i="3"/>
  <c r="M42" i="3" s="1"/>
  <c r="B3" i="3"/>
  <c r="D32" i="3"/>
  <c r="D42" i="3" s="1"/>
  <c r="O32" i="3"/>
  <c r="P40" i="54" l="1"/>
  <c r="J41" i="4"/>
  <c r="R41" i="4" s="1"/>
  <c r="U41" i="4" s="1"/>
  <c r="H18" i="54"/>
  <c r="L18" i="54" s="1"/>
  <c r="P18" i="54" s="1"/>
  <c r="H22" i="54"/>
  <c r="L22" i="54" s="1"/>
  <c r="P22" i="54" s="1"/>
  <c r="H17" i="54"/>
  <c r="L17" i="54" s="1"/>
  <c r="P17" i="54" s="1"/>
  <c r="H21" i="54"/>
  <c r="L21" i="54" s="1"/>
  <c r="P21" i="54" s="1"/>
  <c r="H20" i="54"/>
  <c r="L20" i="54" s="1"/>
  <c r="P20" i="54" s="1"/>
  <c r="H23" i="54"/>
  <c r="L23" i="54" s="1"/>
  <c r="P23" i="54" s="1"/>
  <c r="H9" i="54"/>
  <c r="L9" i="54" s="1"/>
  <c r="P9" i="54" s="1"/>
  <c r="H24" i="54"/>
  <c r="L24" i="54" s="1"/>
  <c r="P24" i="54" s="1"/>
  <c r="H19" i="54"/>
  <c r="L19" i="54" s="1"/>
  <c r="P19" i="54" s="1"/>
  <c r="L8" i="54"/>
  <c r="P8" i="54" s="1"/>
  <c r="B32" i="54"/>
  <c r="R32" i="3"/>
  <c r="R42" i="3" s="1"/>
  <c r="N32" i="54"/>
  <c r="N42" i="54" s="1"/>
  <c r="G33" i="4"/>
  <c r="G43" i="4" s="1"/>
  <c r="Z40" i="54" l="1"/>
  <c r="B42" i="54"/>
  <c r="H32" i="54"/>
  <c r="H42" i="54" s="1"/>
  <c r="O33" i="4"/>
  <c r="O43" i="4" s="1"/>
  <c r="J33" i="4" l="1"/>
  <c r="J43" i="4" s="1"/>
  <c r="O37" i="3" l="1"/>
  <c r="O42" i="3" l="1"/>
  <c r="B32" i="3" l="1"/>
  <c r="B42" i="3" s="1"/>
  <c r="H32" i="3" l="1"/>
  <c r="H42" i="3" s="1"/>
  <c r="P32" i="54" l="1"/>
  <c r="T32" i="3"/>
  <c r="S8" i="54" l="1"/>
  <c r="V8" i="54" s="1"/>
  <c r="X8" i="54" s="1"/>
  <c r="L9" i="4" s="1"/>
  <c r="R9" i="4" s="1"/>
  <c r="S10" i="54"/>
  <c r="V10" i="54" s="1"/>
  <c r="X10" i="54" s="1"/>
  <c r="S18" i="54"/>
  <c r="S17" i="54"/>
  <c r="V17" i="54" s="1"/>
  <c r="X17" i="54" s="1"/>
  <c r="S12" i="54"/>
  <c r="V12" i="54" s="1"/>
  <c r="X12" i="54" s="1"/>
  <c r="S20" i="54"/>
  <c r="V20" i="54" s="1"/>
  <c r="X20" i="54" s="1"/>
  <c r="S15" i="54"/>
  <c r="V15" i="54" s="1"/>
  <c r="X15" i="54" s="1"/>
  <c r="S23" i="54"/>
  <c r="V23" i="54" s="1"/>
  <c r="X23" i="54" s="1"/>
  <c r="S9" i="54"/>
  <c r="V9" i="54" s="1"/>
  <c r="X9" i="54" s="1"/>
  <c r="S30" i="54"/>
  <c r="V30" i="54" s="1"/>
  <c r="X30" i="54" s="1"/>
  <c r="S25" i="54"/>
  <c r="V25" i="54" s="1"/>
  <c r="X25" i="54" s="1"/>
  <c r="S21" i="54"/>
  <c r="V21" i="54" s="1"/>
  <c r="X21" i="54" s="1"/>
  <c r="V18" i="54"/>
  <c r="X18" i="54" s="1"/>
  <c r="S24" i="54"/>
  <c r="V24" i="54" s="1"/>
  <c r="X24" i="54" s="1"/>
  <c r="S14" i="54"/>
  <c r="V14" i="54" s="1"/>
  <c r="X14" i="54" s="1"/>
  <c r="S16" i="54"/>
  <c r="V16" i="54" s="1"/>
  <c r="X16" i="54" s="1"/>
  <c r="S11" i="54"/>
  <c r="V11" i="54" s="1"/>
  <c r="X11" i="54" s="1"/>
  <c r="S19" i="54"/>
  <c r="V19" i="54" s="1"/>
  <c r="X19" i="54" s="1"/>
  <c r="S27" i="54"/>
  <c r="V27" i="54" s="1"/>
  <c r="X27" i="54" s="1"/>
  <c r="S26" i="54"/>
  <c r="V26" i="54" s="1"/>
  <c r="X26" i="54" s="1"/>
  <c r="S13" i="54"/>
  <c r="V13" i="54" s="1"/>
  <c r="X13" i="54" s="1"/>
  <c r="S29" i="54"/>
  <c r="V29" i="54" s="1"/>
  <c r="X29" i="54" s="1"/>
  <c r="S28" i="54"/>
  <c r="V28" i="54" s="1"/>
  <c r="X28" i="54" s="1"/>
  <c r="S22" i="54"/>
  <c r="V22" i="54" s="1"/>
  <c r="X22" i="54" s="1"/>
  <c r="T42" i="3"/>
  <c r="P42" i="54"/>
  <c r="L32" i="54"/>
  <c r="L42" i="54" s="1"/>
  <c r="Z28" i="54" l="1"/>
  <c r="L29" i="4"/>
  <c r="R29" i="4" s="1"/>
  <c r="U29" i="4" s="1"/>
  <c r="Z13" i="54"/>
  <c r="L14" i="4"/>
  <c r="R14" i="4" s="1"/>
  <c r="U14" i="4" s="1"/>
  <c r="Z27" i="54"/>
  <c r="L28" i="4"/>
  <c r="R28" i="4" s="1"/>
  <c r="U28" i="4" s="1"/>
  <c r="Z11" i="54"/>
  <c r="L12" i="4"/>
  <c r="R12" i="4" s="1"/>
  <c r="U12" i="4" s="1"/>
  <c r="Z14" i="54"/>
  <c r="L15" i="4"/>
  <c r="R15" i="4" s="1"/>
  <c r="U15" i="4" s="1"/>
  <c r="Z18" i="54"/>
  <c r="L19" i="4"/>
  <c r="R19" i="4" s="1"/>
  <c r="U19" i="4" s="1"/>
  <c r="Z25" i="54"/>
  <c r="L26" i="4"/>
  <c r="R26" i="4" s="1"/>
  <c r="U26" i="4" s="1"/>
  <c r="Z9" i="54"/>
  <c r="L10" i="4"/>
  <c r="R10" i="4" s="1"/>
  <c r="U10" i="4" s="1"/>
  <c r="Z15" i="54"/>
  <c r="L16" i="4"/>
  <c r="R16" i="4" s="1"/>
  <c r="U16" i="4" s="1"/>
  <c r="Z12" i="54"/>
  <c r="L13" i="4"/>
  <c r="R13" i="4" s="1"/>
  <c r="U13" i="4" s="1"/>
  <c r="Z22" i="54"/>
  <c r="L23" i="4"/>
  <c r="R23" i="4" s="1"/>
  <c r="U23" i="4" s="1"/>
  <c r="Z29" i="54"/>
  <c r="L30" i="4"/>
  <c r="Z26" i="54"/>
  <c r="L27" i="4"/>
  <c r="R27" i="4" s="1"/>
  <c r="U27" i="4" s="1"/>
  <c r="Z19" i="54"/>
  <c r="L20" i="4"/>
  <c r="R20" i="4" s="1"/>
  <c r="U20" i="4" s="1"/>
  <c r="Z16" i="54"/>
  <c r="L17" i="4"/>
  <c r="R17" i="4" s="1"/>
  <c r="U17" i="4" s="1"/>
  <c r="Z24" i="54"/>
  <c r="L25" i="4"/>
  <c r="R25" i="4" s="1"/>
  <c r="U25" i="4" s="1"/>
  <c r="Z21" i="54"/>
  <c r="L22" i="4"/>
  <c r="R22" i="4" s="1"/>
  <c r="U22" i="4" s="1"/>
  <c r="Z30" i="54"/>
  <c r="L31" i="4"/>
  <c r="R31" i="4" s="1"/>
  <c r="U31" i="4" s="1"/>
  <c r="Z23" i="54"/>
  <c r="L24" i="4"/>
  <c r="R24" i="4" s="1"/>
  <c r="U24" i="4" s="1"/>
  <c r="Z20" i="54"/>
  <c r="L21" i="4"/>
  <c r="R21" i="4" s="1"/>
  <c r="U21" i="4" s="1"/>
  <c r="Z17" i="54"/>
  <c r="L18" i="4"/>
  <c r="R18" i="4" s="1"/>
  <c r="U18" i="4" s="1"/>
  <c r="Z10" i="54"/>
  <c r="L11" i="4"/>
  <c r="R11" i="4" s="1"/>
  <c r="U11" i="4" s="1"/>
  <c r="X32" i="54"/>
  <c r="X42" i="54" s="1"/>
  <c r="Z8" i="54"/>
  <c r="S32" i="54"/>
  <c r="S42" i="54" s="1"/>
  <c r="R30" i="4"/>
  <c r="U30" i="4" s="1"/>
  <c r="V32" i="54"/>
  <c r="V42" i="54" s="1"/>
  <c r="Z32" i="54" l="1"/>
  <c r="Z42" i="54" s="1"/>
  <c r="L33" i="4"/>
  <c r="L43" i="4" s="1"/>
  <c r="U9" i="4" l="1"/>
  <c r="U33" i="4" s="1"/>
  <c r="R33" i="4"/>
  <c r="R43" i="4" s="1"/>
  <c r="U43" i="4" l="1"/>
</calcChain>
</file>

<file path=xl/comments1.xml><?xml version="1.0" encoding="utf-8"?>
<comments xmlns="http://schemas.openxmlformats.org/spreadsheetml/2006/main">
  <authors>
    <author>Canfield, Chris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Canfield, Chris:</t>
        </r>
        <r>
          <rPr>
            <sz val="9"/>
            <color indexed="81"/>
            <rFont val="Tahoma"/>
            <family val="2"/>
          </rPr>
          <t xml:space="preserve">
-1000 for rounding</t>
        </r>
      </text>
    </comment>
  </commentList>
</comments>
</file>

<file path=xl/sharedStrings.xml><?xml version="1.0" encoding="utf-8"?>
<sst xmlns="http://schemas.openxmlformats.org/spreadsheetml/2006/main" count="313" uniqueCount="194">
  <si>
    <t>Bakersfield</t>
  </si>
  <si>
    <t>Channel Islands</t>
  </si>
  <si>
    <t>Chico</t>
  </si>
  <si>
    <t>Dominguez Hills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</si>
  <si>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</si>
  <si>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</si>
  <si>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</si>
  <si>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</si>
  <si>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</si>
  <si>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</si>
  <si>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</si>
  <si>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</si>
  <si>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</si>
  <si>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</si>
  <si>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</si>
  <si>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</si>
  <si>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</si>
  <si>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</si>
  <si>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</si>
  <si>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</si>
  <si>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</si>
  <si>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</si>
  <si>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</si>
  <si>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</si>
  <si>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International Programs</t>
  </si>
  <si>
    <t>Summer Arts</t>
  </si>
  <si>
    <t>Systemwide Provisions</t>
  </si>
  <si>
    <t>CSU System Total</t>
  </si>
  <si>
    <t>East Bay</t>
  </si>
  <si>
    <t>CalStateTeach</t>
  </si>
  <si>
    <t>Energy</t>
  </si>
  <si>
    <t>Health</t>
  </si>
  <si>
    <t>Campus</t>
  </si>
  <si>
    <t>(Sum Cols. 1-3)</t>
  </si>
  <si>
    <t>Unadjusted Other Fee Revenue and Reim.</t>
  </si>
  <si>
    <t>Grand Total</t>
  </si>
  <si>
    <t>Sub-Totals</t>
  </si>
  <si>
    <t>Change in Student Enrollment Patterns</t>
  </si>
  <si>
    <t>$</t>
  </si>
  <si>
    <t>%</t>
  </si>
  <si>
    <t xml:space="preserve">Bakersfield       </t>
  </si>
  <si>
    <t xml:space="preserve">Chico             </t>
  </si>
  <si>
    <t xml:space="preserve">Dominguez Hills   </t>
  </si>
  <si>
    <t xml:space="preserve">Fresno            </t>
  </si>
  <si>
    <t xml:space="preserve">Fullerton         </t>
  </si>
  <si>
    <t xml:space="preserve">Humboldt          </t>
  </si>
  <si>
    <t xml:space="preserve">Long Beach        </t>
  </si>
  <si>
    <t xml:space="preserve">Los Angeles       </t>
  </si>
  <si>
    <t xml:space="preserve">Northridge        </t>
  </si>
  <si>
    <t xml:space="preserve">Pomona            </t>
  </si>
  <si>
    <t xml:space="preserve">Sacramento        </t>
  </si>
  <si>
    <t xml:space="preserve">San Bernardino    </t>
  </si>
  <si>
    <t xml:space="preserve">San Diego         </t>
  </si>
  <si>
    <t xml:space="preserve">San Francisco     </t>
  </si>
  <si>
    <t xml:space="preserve">San Jose          </t>
  </si>
  <si>
    <t xml:space="preserve">San Luis Obispo   </t>
  </si>
  <si>
    <t xml:space="preserve">San Marcos        </t>
  </si>
  <si>
    <t xml:space="preserve">Sonoma            </t>
  </si>
  <si>
    <t xml:space="preserve">Stanislaus        </t>
  </si>
  <si>
    <t>TOTALS</t>
  </si>
  <si>
    <t>(Cols. 2 - 1)</t>
  </si>
  <si>
    <t>(a)</t>
  </si>
  <si>
    <t>General Fund</t>
  </si>
  <si>
    <t>GF Base Adjustments</t>
  </si>
  <si>
    <t>Tuition</t>
  </si>
  <si>
    <r>
      <t xml:space="preserve">Change in Student Enrollment Patterns </t>
    </r>
    <r>
      <rPr>
        <vertAlign val="superscript"/>
        <sz val="10"/>
        <rFont val="Times New Roman"/>
        <family val="1"/>
      </rPr>
      <t>2</t>
    </r>
  </si>
  <si>
    <t>(=Col. 3)</t>
  </si>
  <si>
    <t>Campus Reported Tuition Fee Revenue</t>
  </si>
  <si>
    <t>Tuition Fee Revenue</t>
  </si>
  <si>
    <t>Nonresident Students</t>
  </si>
  <si>
    <t>Tuition Fee Revenue Financial Aid Set-Aside</t>
  </si>
  <si>
    <t>ATTACHMENT A - 2012/13 Governor's Budget Allocations, Gross Budget Summary</t>
  </si>
  <si>
    <t xml:space="preserve">ATTACHMENT B - 2012/13 Governor's Budget Allocation Base Adjustments </t>
  </si>
  <si>
    <t>2011/12 FIRMS Final Budget Detail</t>
  </si>
  <si>
    <t>2012/13 CSU Governor's Budget Allocation Totals</t>
  </si>
  <si>
    <t>2012/13 Budget Adjustments</t>
  </si>
  <si>
    <t>2012/13 Tuition Revenue Adjustment</t>
  </si>
  <si>
    <t>2012/13 General Fund Base Adjustments</t>
  </si>
  <si>
    <t xml:space="preserve">(b) </t>
  </si>
  <si>
    <t>(c)</t>
  </si>
  <si>
    <t>(Sum Cols. a-c)</t>
  </si>
  <si>
    <t>One-Third Financial Aid Set-Aside on Revenue from Rate Increase</t>
  </si>
  <si>
    <r>
      <rPr>
        <vertAlign val="superscript"/>
        <sz val="10"/>
        <color indexed="8"/>
        <rFont val="Times New Roman"/>
        <family val="1"/>
      </rPr>
      <t xml:space="preserve">2 </t>
    </r>
    <r>
      <rPr>
        <sz val="10"/>
        <color indexed="8"/>
        <rFont val="Times New Roman"/>
        <family val="1"/>
      </rPr>
      <t xml:space="preserve">Represents change in actual student enrollment patterns from 2009/10 to 2010/11 (past-year actual). </t>
    </r>
  </si>
  <si>
    <t>Adjustments in SUG Set-Aside from Summer Tuition Fee Rate Changes</t>
  </si>
  <si>
    <t xml:space="preserve">Adjustments in SUG Set-Aside from Summer Tuition Fee Rate Change </t>
  </si>
  <si>
    <t>B 2011-02 Final Budget Allocations</t>
  </si>
  <si>
    <t>SUG Academic Year (AY) Eligibility Based on 2010/11 Final Database With 2012/13 Fee Levels</t>
  </si>
  <si>
    <t>SUG AY Eligibility Further Adjusted to Reflect Funded Enrollment Targets from 2010/11 to 2012/13</t>
  </si>
  <si>
    <t>(6)</t>
  </si>
  <si>
    <t>2011/12 Tuition Fee Rate Change Applied to Summer Term</t>
  </si>
  <si>
    <t>Adjustments in SUG Set-Aside from Summer Tuition Fee Rate Change</t>
  </si>
  <si>
    <t>(4)</t>
  </si>
  <si>
    <t>(5)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</si>
  <si>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</si>
  <si>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</si>
  <si>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</si>
  <si>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</si>
  <si>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</si>
  <si>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</si>
  <si>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</si>
  <si>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</si>
  <si>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</si>
  <si>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</si>
  <si>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</si>
  <si>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</si>
  <si>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r>
      <t xml:space="preserve">2012/13 Non-Resident FTES </t>
    </r>
    <r>
      <rPr>
        <vertAlign val="superscript"/>
        <sz val="10"/>
        <rFont val="Times New Roman"/>
        <family val="1"/>
      </rPr>
      <t>1</t>
    </r>
  </si>
  <si>
    <r>
      <t xml:space="preserve">2012/13 Resident FTES 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</si>
  <si>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For purposes of 2012/13 budget allocations, there is no change in number of resident full-time equivalent students from 2011/12 budget targets.  The nonresident FTES is equal to the 2010/11 actual FTES.</t>
    </r>
  </si>
  <si>
    <t>Resident Students</t>
  </si>
  <si>
    <t>-1/3rd of Col. 2</t>
  </si>
  <si>
    <t>-1/3rd of Col. 4</t>
  </si>
  <si>
    <t>-1/3rd of Col. 7</t>
  </si>
  <si>
    <t>Cols. 1 + 6</t>
  </si>
  <si>
    <t>Cols. 2 + 7</t>
  </si>
  <si>
    <t>Cols. 4 + 9</t>
  </si>
  <si>
    <t>Cols. 5 + 10</t>
  </si>
  <si>
    <t>Cols. 3 + 8</t>
  </si>
  <si>
    <t>Cols. 13 + 15</t>
  </si>
  <si>
    <t>Cols. 11 + 12 + 14</t>
  </si>
  <si>
    <t>Cols. 16 + 17</t>
  </si>
  <si>
    <t>Campus Reported Gross                              Final Budget</t>
  </si>
  <si>
    <t>(Continued)</t>
  </si>
  <si>
    <t>Total Mandatory Cost Increases</t>
  </si>
  <si>
    <t>Reserve for Trigger</t>
  </si>
  <si>
    <t>Provision for Debt Service</t>
  </si>
  <si>
    <t xml:space="preserve">ATTACHMENT C - 2012/13 Governor's Budget Allocation, General Fund Expenditure Adjustments </t>
  </si>
  <si>
    <t>(Attach. D, Col. 16)</t>
  </si>
  <si>
    <t>(Cols. 1 + 5 + 6)</t>
  </si>
  <si>
    <t>(Cols. 2 + 7)</t>
  </si>
  <si>
    <t xml:space="preserve">ATTACHMENT E - 2012/13 Governor's Budget Allocations, State University Grant (SUG) Adjustment </t>
  </si>
  <si>
    <t>ATTACHMENT D -- 2012/13 Governor's Budget Allocations, Tuition Fee Revenue Adjustments</t>
  </si>
  <si>
    <t>(Attach. E, Col. 2)</t>
  </si>
  <si>
    <r>
      <t xml:space="preserve">2012/13 Projected Mandatory Cost Increases 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</si>
  <si>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Mandatory cost increases provided for information only in 2012/13 Governor's budget allocations.  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</si>
  <si>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Based on 2012/13 new space need only @ $10.02 per square foot. </t>
    </r>
  </si>
  <si>
    <t>(Attach. E / Col. 3)</t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</si>
  <si>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Represents the provision to shift general obligation bond debt service into CSU's budget ($189,775,000).</t>
    </r>
  </si>
  <si>
    <r>
      <t>2012/13 Gross Budget Allocation</t>
    </r>
    <r>
      <rPr>
        <i/>
        <sz val="8"/>
        <rFont val="Times New Roman"/>
        <family val="1"/>
      </rPr>
      <t/>
    </r>
  </si>
  <si>
    <t>(Sum Cols. 8-10)</t>
  </si>
  <si>
    <t>2011/12 $100M Mid-Year GF Trigger Reduction</t>
  </si>
  <si>
    <t>(Attach. D / Col. 17)</t>
  </si>
  <si>
    <r>
      <t xml:space="preserve">New Space Need </t>
    </r>
    <r>
      <rPr>
        <vertAlign val="superscript"/>
        <sz val="11"/>
        <color theme="1"/>
        <rFont val="Times New Roman"/>
        <family val="1"/>
      </rPr>
      <t>2</t>
    </r>
  </si>
  <si>
    <r>
      <t>Other Fee Revenue and SWP Reim.</t>
    </r>
    <r>
      <rPr>
        <vertAlign val="superscript"/>
        <sz val="11"/>
        <rFont val="Times New Roman"/>
        <family val="1"/>
      </rPr>
      <t>1</t>
    </r>
  </si>
  <si>
    <r>
      <t xml:space="preserve">General Fund Allocation </t>
    </r>
    <r>
      <rPr>
        <i/>
        <sz val="8"/>
        <rFont val="Times New Roman"/>
        <family val="1"/>
      </rPr>
      <t/>
    </r>
  </si>
  <si>
    <r>
      <t xml:space="preserve">2011/12 Retirement Adjustment </t>
    </r>
    <r>
      <rPr>
        <vertAlign val="superscript"/>
        <sz val="11"/>
        <rFont val="Times New Roman"/>
        <family val="1"/>
      </rPr>
      <t>1</t>
    </r>
  </si>
  <si>
    <r>
      <t xml:space="preserve">Campus Operating Revenue Interest Assessment </t>
    </r>
    <r>
      <rPr>
        <vertAlign val="superscript"/>
        <sz val="11"/>
        <rFont val="Times New Roman"/>
        <family val="1"/>
      </rPr>
      <t>4</t>
    </r>
  </si>
  <si>
    <t>2012/13 Tuition Fee Rate Change (BOT RFIN 11-11-14) Applied to Academic Year</t>
  </si>
  <si>
    <t>Revised 2011/12 General Fund Base</t>
  </si>
  <si>
    <t>(Cols. 1 + 2 + 3)</t>
  </si>
  <si>
    <t>2012/13 Tuition and Other Fee Revenue</t>
  </si>
  <si>
    <t>(Attach. A, Cols. 9 + 10)</t>
  </si>
  <si>
    <t>(Cols. 2 + 3 + 5 + 6)</t>
  </si>
  <si>
    <t>(Attach. B, Col. 8)</t>
  </si>
  <si>
    <t>$200 Million Trigger Reduction</t>
  </si>
  <si>
    <t>2012/13 SUG Adjustments</t>
  </si>
  <si>
    <t>GF Expenditure Adjustments</t>
  </si>
  <si>
    <t>(Attach. B, Col. 7)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</si>
  <si>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Campus 2011/12 CalPERS employer-paid retirement rate adjustments reflect the difference between the 2010/11 composite (July 2010 &amp; Jan. 2011) rates funded by the state during 2010/11 and the new 2011/12 rates; the additional SWP adjustment reconciles the applicable CSU 2011/12 GF appropriation that was based upon the difference between the higher July 2010 rates applied to the full year and the new 2011/12 rates. </t>
    </r>
  </si>
  <si>
    <t>(2)</t>
  </si>
  <si>
    <r>
      <t>Financial Aid / SUG Distribution Based on Need</t>
    </r>
    <r>
      <rPr>
        <sz val="11"/>
        <color rgb="FFFF0000"/>
        <rFont val="Times New Roman"/>
        <family val="1"/>
      </rPr>
      <t xml:space="preserve"> </t>
    </r>
  </si>
  <si>
    <r>
      <t xml:space="preserve">2012/13 General Fund Base </t>
    </r>
    <r>
      <rPr>
        <sz val="8"/>
        <color theme="1"/>
        <rFont val="Times New Roman"/>
        <family val="1"/>
      </rPr>
      <t>(</t>
    </r>
    <r>
      <rPr>
        <u/>
        <sz val="8"/>
        <color theme="1"/>
        <rFont val="Times New Roman"/>
        <family val="1"/>
      </rPr>
      <t>before</t>
    </r>
    <r>
      <rPr>
        <sz val="8"/>
        <color theme="1"/>
        <rFont val="Times New Roman"/>
        <family val="1"/>
      </rPr>
      <t xml:space="preserve"> SUG Adjustment and $200M trigger reduction) </t>
    </r>
  </si>
  <si>
    <t>(3)</t>
  </si>
  <si>
    <t>Cols. 1 + 2 + 3</t>
  </si>
  <si>
    <r>
      <t xml:space="preserve">2012/13 General Fund Base </t>
    </r>
    <r>
      <rPr>
        <sz val="8"/>
        <color theme="1"/>
        <rFont val="Times New Roman"/>
        <family val="1"/>
      </rPr>
      <t>(</t>
    </r>
    <r>
      <rPr>
        <u/>
        <sz val="8"/>
        <color theme="1"/>
        <rFont val="Times New Roman"/>
        <family val="1"/>
      </rPr>
      <t>after</t>
    </r>
    <r>
      <rPr>
        <sz val="8"/>
        <color theme="1"/>
        <rFont val="Times New Roman"/>
        <family val="1"/>
      </rPr>
      <t xml:space="preserve"> SUG Adjustment and </t>
    </r>
    <r>
      <rPr>
        <u/>
        <sz val="8"/>
        <color theme="1"/>
        <rFont val="Times New Roman"/>
        <family val="1"/>
      </rPr>
      <t>before</t>
    </r>
    <r>
      <rPr>
        <sz val="8"/>
        <color theme="1"/>
        <rFont val="Times New Roman"/>
        <family val="1"/>
      </rPr>
      <t xml:space="preserve"> $200M trigger reduction) </t>
    </r>
  </si>
  <si>
    <r>
      <t xml:space="preserve">2012/13 Gross Budget </t>
    </r>
    <r>
      <rPr>
        <sz val="9"/>
        <color indexed="8"/>
        <rFont val="Times New Roman"/>
        <family val="1"/>
      </rPr>
      <t xml:space="preserve">(prior to $200M trigger reduction) </t>
    </r>
  </si>
  <si>
    <t>(Cols. 4 + 5)</t>
  </si>
  <si>
    <t>2012/13 Total SUG Distributed</t>
  </si>
  <si>
    <t>(Cols. 6 - 7)</t>
  </si>
  <si>
    <t>2012/13 SUG Adjustment based on 331,716 Resident FTES with Revenue from Tuition Fee Rate Adjustments</t>
  </si>
  <si>
    <t>B 2012-01 Allocations Total SUG Funding Available / 100% Distributed Based on Need</t>
  </si>
  <si>
    <t>B 2012-01 Allocations SUG Increase</t>
  </si>
  <si>
    <t>Campus % of Col. 8</t>
  </si>
  <si>
    <t>(Col. 9 * $200M)</t>
  </si>
  <si>
    <r>
      <t xml:space="preserve">2012/13 General Fund Base </t>
    </r>
    <r>
      <rPr>
        <sz val="8"/>
        <color theme="1"/>
        <rFont val="Times New Roman"/>
        <family val="1"/>
      </rPr>
      <t>(</t>
    </r>
    <r>
      <rPr>
        <u/>
        <sz val="8"/>
        <color theme="1"/>
        <rFont val="Times New Roman"/>
        <family val="1"/>
      </rPr>
      <t>after</t>
    </r>
    <r>
      <rPr>
        <sz val="8"/>
        <color theme="1"/>
        <rFont val="Times New Roman"/>
        <family val="1"/>
      </rPr>
      <t xml:space="preserve"> SUG Adjustment and $200M trigger reduction) </t>
    </r>
  </si>
  <si>
    <t>Total GF Expenditure Adjustments</t>
  </si>
  <si>
    <t>(Cols. 2 + 3 + 10)</t>
  </si>
  <si>
    <t>(Cols. 1 + 11)</t>
  </si>
  <si>
    <t>(Attach. C, Col. 11)</t>
  </si>
  <si>
    <t>Coded Memo B 2012-01, February 10, 2012</t>
  </si>
  <si>
    <t>(Cols. 1 + 7)</t>
  </si>
  <si>
    <t>For Information Only</t>
  </si>
  <si>
    <t xml:space="preserve">2012/13 Gross Budget Less SUG </t>
  </si>
  <si>
    <t>B 12-01 2012/13 Tuition Fee Revenue Adjustment - before Financial Aid Set-Aside</t>
  </si>
  <si>
    <t>B 12-01 Financial Aid Set-Aside</t>
  </si>
  <si>
    <t>B 12-01 2012/13 Tuition Fee Revenue Adjustment - Net of Financial Aid</t>
  </si>
  <si>
    <t>Other Base Adjustments</t>
  </si>
  <si>
    <t>2011/12 B 2011-01 General Fund Allocation</t>
  </si>
  <si>
    <t>B 2011-02 General Fund Allocation</t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</si>
  <si>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The total CSU 2012/13 assessment ($2,217,000) represents a $1.31M adjustment to the 2011/12 $3.53M level. The campus base budget adjustments will replace the previous CPO quarterly assessments in 2012/13.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</si>
  <si>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Includes lease revenue bond adjustments (-$50,000 in 2011/12; $5,545,000 in 2012/13); annuitants' dental adjustment ($1,096,000), and offset of funding restoration (-$2,372,800). </t>
    </r>
  </si>
  <si>
    <t>-1/3rd of Col. 9</t>
  </si>
  <si>
    <t>*</t>
  </si>
  <si>
    <t>CalStateTeach and Summer Arts updated on February, 14, 2012</t>
  </si>
  <si>
    <t>Represents other CSU Operating Fund fee revenue besides tuition fee; the only reimbursement shown is lease revenue bond payments in SWPs.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</si>
</sst>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0.00000%"/>
    <numFmt numFmtId="168" formatCode="0.000%"/>
  </numFmts>
  <fonts count="7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indexed="8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indexed="8"/>
      <name val="Times New Roman"/>
      <family val="1"/>
    </font>
    <font>
      <b/>
      <sz val="9"/>
      <color theme="1"/>
      <name val="Times New Roman"/>
      <family val="1"/>
    </font>
    <font>
      <i/>
      <sz val="8"/>
      <color rgb="FFFF000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color theme="1"/>
      <name val="Times New Roman"/>
      <family val="1"/>
    </font>
    <font>
      <vertAlign val="superscript"/>
      <sz val="9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indexed="8"/>
      <name val="Times New Roman"/>
      <family val="1"/>
    </font>
    <font>
      <vertAlign val="superscript"/>
      <sz val="10"/>
      <color rgb="FFFF0000"/>
      <name val="Times New Roman"/>
      <family val="1"/>
    </font>
    <font>
      <i/>
      <sz val="7"/>
      <color indexed="8"/>
      <name val="Times New Roman"/>
      <family val="1"/>
    </font>
    <font>
      <u/>
      <sz val="8"/>
      <color theme="1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2" fillId="0" borderId="0"/>
    <xf numFmtId="0" fontId="7" fillId="0" borderId="0"/>
    <xf numFmtId="0" fontId="21" fillId="0" borderId="0"/>
    <xf numFmtId="0" fontId="22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43" fontId="4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451">
    <xf numFmtId="0" fontId="0" fillId="0" borderId="0" xfId="0"/>
    <xf numFmtId="37" fontId="9" fillId="0" borderId="0" xfId="0" applyNumberFormat="1" applyFont="1" applyFill="1"/>
    <xf numFmtId="37" fontId="8" fillId="0" borderId="1" xfId="0" applyNumberFormat="1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Alignment="1">
      <alignment horizontal="center" vertical="center" wrapText="1"/>
    </xf>
    <xf numFmtId="37" fontId="11" fillId="0" borderId="0" xfId="0" applyNumberFormat="1" applyFont="1" applyFill="1" applyBorder="1" applyAlignment="1">
      <alignment horizontal="center" vertical="center" wrapText="1"/>
    </xf>
    <xf numFmtId="37" fontId="10" fillId="0" borderId="0" xfId="0" applyNumberFormat="1" applyFont="1" applyFill="1"/>
    <xf numFmtId="37" fontId="10" fillId="0" borderId="0" xfId="0" applyNumberFormat="1" applyFont="1" applyFill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37" fontId="16" fillId="0" borderId="0" xfId="0" applyNumberFormat="1" applyFont="1" applyFill="1"/>
    <xf numFmtId="37" fontId="17" fillId="0" borderId="4" xfId="0" applyNumberFormat="1" applyFont="1" applyFill="1" applyBorder="1" applyAlignment="1">
      <alignment horizontal="center" wrapText="1"/>
    </xf>
    <xf numFmtId="37" fontId="17" fillId="0" borderId="0" xfId="0" applyNumberFormat="1" applyFont="1" applyFill="1" applyBorder="1" applyAlignment="1">
      <alignment horizontal="center" wrapText="1"/>
    </xf>
    <xf numFmtId="37" fontId="8" fillId="0" borderId="1" xfId="0" applyNumberFormat="1" applyFont="1" applyFill="1" applyBorder="1" applyAlignment="1">
      <alignment vertical="center"/>
    </xf>
    <xf numFmtId="5" fontId="16" fillId="0" borderId="0" xfId="0" applyNumberFormat="1" applyFont="1" applyFill="1"/>
    <xf numFmtId="37" fontId="18" fillId="0" borderId="0" xfId="0" applyNumberFormat="1" applyFont="1" applyFill="1"/>
    <xf numFmtId="37" fontId="19" fillId="0" borderId="0" xfId="0" applyNumberFormat="1" applyFont="1" applyFill="1" applyAlignment="1">
      <alignment vertical="top"/>
    </xf>
    <xf numFmtId="37" fontId="15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center"/>
    </xf>
    <xf numFmtId="37" fontId="29" fillId="0" borderId="0" xfId="0" applyNumberFormat="1" applyFont="1" applyFill="1"/>
    <xf numFmtId="37" fontId="23" fillId="0" borderId="0" xfId="0" quotePrefix="1" applyNumberFormat="1" applyFont="1" applyFill="1" applyAlignment="1">
      <alignment horizontal="right"/>
    </xf>
    <xf numFmtId="37" fontId="30" fillId="0" borderId="0" xfId="0" applyNumberFormat="1" applyFont="1" applyFill="1"/>
    <xf numFmtId="37" fontId="9" fillId="0" borderId="0" xfId="14" applyNumberFormat="1" applyFont="1" applyFill="1" applyBorder="1" applyAlignment="1">
      <alignment horizontal="center" vertical="center"/>
    </xf>
    <xf numFmtId="0" fontId="29" fillId="0" borderId="0" xfId="14" applyFont="1" applyFill="1" applyBorder="1" applyAlignment="1"/>
    <xf numFmtId="0" fontId="27" fillId="0" borderId="0" xfId="14" applyFont="1" applyFill="1" applyBorder="1"/>
    <xf numFmtId="0" fontId="27" fillId="0" borderId="0" xfId="14" applyFont="1" applyFill="1" applyBorder="1" applyAlignment="1">
      <alignment horizontal="center"/>
    </xf>
    <xf numFmtId="37" fontId="32" fillId="0" borderId="0" xfId="14" applyNumberFormat="1" applyFont="1" applyFill="1" applyBorder="1" applyAlignment="1">
      <alignment horizontal="center"/>
    </xf>
    <xf numFmtId="0" fontId="27" fillId="0" borderId="10" xfId="14" applyFont="1" applyFill="1" applyBorder="1"/>
    <xf numFmtId="0" fontId="27" fillId="0" borderId="11" xfId="14" applyFont="1" applyFill="1" applyBorder="1"/>
    <xf numFmtId="0" fontId="27" fillId="0" borderId="12" xfId="14" applyFont="1" applyFill="1" applyBorder="1" applyAlignment="1">
      <alignment horizontal="center" wrapText="1"/>
    </xf>
    <xf numFmtId="0" fontId="28" fillId="0" borderId="1" xfId="14" applyFont="1" applyFill="1" applyBorder="1" applyAlignment="1"/>
    <xf numFmtId="0" fontId="27" fillId="0" borderId="0" xfId="14" applyFont="1" applyFill="1" applyBorder="1" applyAlignment="1"/>
    <xf numFmtId="0" fontId="28" fillId="0" borderId="0" xfId="14" applyFont="1" applyFill="1" applyBorder="1" applyAlignment="1"/>
    <xf numFmtId="0" fontId="28" fillId="0" borderId="0" xfId="14" applyFont="1" applyFill="1" applyBorder="1"/>
    <xf numFmtId="0" fontId="28" fillId="0" borderId="0" xfId="14" applyFont="1" applyFill="1" applyBorder="1" applyAlignment="1">
      <alignment horizontal="center"/>
    </xf>
    <xf numFmtId="0" fontId="28" fillId="0" borderId="9" xfId="14" applyFont="1" applyFill="1" applyBorder="1" applyAlignment="1">
      <alignment horizontal="center"/>
    </xf>
    <xf numFmtId="0" fontId="28" fillId="0" borderId="16" xfId="14" applyFont="1" applyFill="1" applyBorder="1" applyAlignment="1">
      <alignment horizontal="center"/>
    </xf>
    <xf numFmtId="0" fontId="27" fillId="0" borderId="16" xfId="14" applyFont="1" applyFill="1" applyBorder="1"/>
    <xf numFmtId="0" fontId="28" fillId="0" borderId="9" xfId="14" applyFont="1" applyFill="1" applyBorder="1"/>
    <xf numFmtId="0" fontId="28" fillId="0" borderId="9" xfId="14" quotePrefix="1" applyFont="1" applyFill="1" applyBorder="1" applyAlignment="1">
      <alignment horizontal="center"/>
    </xf>
    <xf numFmtId="165" fontId="28" fillId="0" borderId="9" xfId="14" applyNumberFormat="1" applyFont="1" applyFill="1" applyBorder="1"/>
    <xf numFmtId="167" fontId="28" fillId="0" borderId="16" xfId="14" applyNumberFormat="1" applyFont="1" applyFill="1" applyBorder="1" applyAlignment="1">
      <alignment horizontal="center"/>
    </xf>
    <xf numFmtId="5" fontId="28" fillId="0" borderId="9" xfId="14" applyNumberFormat="1" applyFont="1" applyFill="1" applyBorder="1"/>
    <xf numFmtId="167" fontId="28" fillId="0" borderId="0" xfId="14" applyNumberFormat="1" applyFont="1" applyFill="1" applyBorder="1" applyAlignment="1">
      <alignment horizontal="center"/>
    </xf>
    <xf numFmtId="167" fontId="28" fillId="0" borderId="9" xfId="14" applyNumberFormat="1" applyFont="1" applyFill="1" applyBorder="1" applyAlignment="1">
      <alignment horizontal="center"/>
    </xf>
    <xf numFmtId="5" fontId="32" fillId="0" borderId="0" xfId="14" applyNumberFormat="1" applyFont="1" applyFill="1" applyBorder="1"/>
    <xf numFmtId="37" fontId="28" fillId="0" borderId="0" xfId="14" applyNumberFormat="1" applyFont="1" applyFill="1" applyBorder="1"/>
    <xf numFmtId="5" fontId="28" fillId="0" borderId="0" xfId="14" applyNumberFormat="1" applyFont="1" applyFill="1" applyBorder="1"/>
    <xf numFmtId="37" fontId="32" fillId="0" borderId="0" xfId="14" applyNumberFormat="1" applyFont="1" applyFill="1" applyBorder="1"/>
    <xf numFmtId="3" fontId="28" fillId="0" borderId="0" xfId="14" applyNumberFormat="1" applyFont="1" applyFill="1" applyBorder="1"/>
    <xf numFmtId="168" fontId="28" fillId="0" borderId="0" xfId="14" applyNumberFormat="1" applyFont="1" applyFill="1" applyBorder="1"/>
    <xf numFmtId="3" fontId="28" fillId="0" borderId="16" xfId="14" applyNumberFormat="1" applyFont="1" applyFill="1" applyBorder="1" applyAlignment="1">
      <alignment horizontal="center"/>
    </xf>
    <xf numFmtId="3" fontId="28" fillId="0" borderId="9" xfId="14" applyNumberFormat="1" applyFont="1" applyFill="1" applyBorder="1"/>
    <xf numFmtId="3" fontId="28" fillId="0" borderId="9" xfId="14" applyNumberFormat="1" applyFont="1" applyFill="1" applyBorder="1" applyAlignment="1">
      <alignment horizontal="center"/>
    </xf>
    <xf numFmtId="0" fontId="28" fillId="0" borderId="17" xfId="14" applyFont="1" applyFill="1" applyBorder="1" applyAlignment="1">
      <alignment horizontal="center"/>
    </xf>
    <xf numFmtId="0" fontId="28" fillId="0" borderId="8" xfId="14" applyFont="1" applyFill="1" applyBorder="1"/>
    <xf numFmtId="10" fontId="28" fillId="0" borderId="8" xfId="14" applyNumberFormat="1" applyFont="1" applyFill="1" applyBorder="1" applyAlignment="1">
      <alignment horizontal="center"/>
    </xf>
    <xf numFmtId="165" fontId="28" fillId="0" borderId="17" xfId="14" applyNumberFormat="1" applyFont="1" applyFill="1" applyBorder="1"/>
    <xf numFmtId="10" fontId="28" fillId="0" borderId="18" xfId="14" applyNumberFormat="1" applyFont="1" applyFill="1" applyBorder="1" applyAlignment="1">
      <alignment horizontal="center"/>
    </xf>
    <xf numFmtId="10" fontId="28" fillId="0" borderId="17" xfId="14" applyNumberFormat="1" applyFont="1" applyFill="1" applyBorder="1" applyAlignment="1">
      <alignment horizontal="center"/>
    </xf>
    <xf numFmtId="5" fontId="32" fillId="0" borderId="8" xfId="10" applyNumberFormat="1" applyFont="1" applyFill="1" applyBorder="1"/>
    <xf numFmtId="0" fontId="27" fillId="0" borderId="18" xfId="14" applyFont="1" applyFill="1" applyBorder="1"/>
    <xf numFmtId="5" fontId="28" fillId="0" borderId="0" xfId="10" applyNumberFormat="1" applyFont="1" applyFill="1" applyBorder="1"/>
    <xf numFmtId="5" fontId="27" fillId="0" borderId="0" xfId="14" applyNumberFormat="1" applyFont="1" applyFill="1" applyBorder="1"/>
    <xf numFmtId="3" fontId="27" fillId="0" borderId="0" xfId="14" applyNumberFormat="1" applyFont="1" applyFill="1" applyBorder="1"/>
    <xf numFmtId="3" fontId="27" fillId="0" borderId="0" xfId="14" applyNumberFormat="1" applyFont="1" applyFill="1" applyBorder="1" applyAlignment="1">
      <alignment horizontal="center"/>
    </xf>
    <xf numFmtId="165" fontId="27" fillId="0" borderId="0" xfId="14" applyNumberFormat="1" applyFont="1" applyFill="1" applyBorder="1"/>
    <xf numFmtId="0" fontId="28" fillId="0" borderId="0" xfId="14" applyFont="1" applyFill="1" applyBorder="1" applyAlignment="1">
      <alignment horizontal="center" wrapText="1"/>
    </xf>
    <xf numFmtId="0" fontId="37" fillId="0" borderId="0" xfId="14" applyFont="1" applyFill="1" applyBorder="1"/>
    <xf numFmtId="37" fontId="38" fillId="0" borderId="0" xfId="7" quotePrefix="1" applyNumberFormat="1" applyFont="1" applyFill="1" applyBorder="1" applyAlignment="1">
      <alignment horizontal="center"/>
    </xf>
    <xf numFmtId="0" fontId="32" fillId="0" borderId="9" xfId="14" quotePrefix="1" applyFont="1" applyFill="1" applyBorder="1" applyAlignment="1">
      <alignment wrapText="1"/>
    </xf>
    <xf numFmtId="37" fontId="27" fillId="0" borderId="0" xfId="14" applyNumberFormat="1" applyFont="1" applyFill="1" applyBorder="1"/>
    <xf numFmtId="5" fontId="7" fillId="0" borderId="0" xfId="14" applyNumberFormat="1" applyFont="1"/>
    <xf numFmtId="5" fontId="7" fillId="0" borderId="0" xfId="0" applyNumberFormat="1" applyFont="1" applyFill="1"/>
    <xf numFmtId="37" fontId="7" fillId="0" borderId="0" xfId="14" applyNumberFormat="1" applyFont="1"/>
    <xf numFmtId="37" fontId="7" fillId="0" borderId="0" xfId="0" applyNumberFormat="1" applyFont="1" applyFill="1"/>
    <xf numFmtId="37" fontId="7" fillId="0" borderId="0" xfId="0" applyNumberFormat="1" applyFont="1" applyFill="1" applyProtection="1">
      <protection locked="0"/>
    </xf>
    <xf numFmtId="37" fontId="7" fillId="0" borderId="0" xfId="0" applyNumberFormat="1" applyFont="1" applyFill="1" applyBorder="1" applyAlignment="1"/>
    <xf numFmtId="37" fontId="14" fillId="0" borderId="0" xfId="0" applyNumberFormat="1" applyFont="1" applyFill="1" applyBorder="1"/>
    <xf numFmtId="37" fontId="14" fillId="0" borderId="0" xfId="0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>
      <alignment horizontal="right" indent="1"/>
    </xf>
    <xf numFmtId="37" fontId="38" fillId="0" borderId="4" xfId="7" quotePrefix="1" applyNumberFormat="1" applyFont="1" applyFill="1" applyBorder="1" applyAlignment="1">
      <alignment horizontal="center"/>
    </xf>
    <xf numFmtId="37" fontId="17" fillId="0" borderId="4" xfId="0" applyNumberFormat="1" applyFont="1" applyFill="1" applyBorder="1" applyAlignment="1">
      <alignment horizontal="center" vertical="center" wrapText="1"/>
    </xf>
    <xf numFmtId="37" fontId="17" fillId="0" borderId="0" xfId="0" applyNumberFormat="1" applyFont="1" applyFill="1" applyBorder="1" applyAlignment="1">
      <alignment horizontal="center" vertical="center" wrapText="1"/>
    </xf>
    <xf numFmtId="37" fontId="39" fillId="0" borderId="0" xfId="7" applyNumberFormat="1" applyFont="1" applyFill="1" applyBorder="1" applyAlignment="1">
      <alignment horizontal="center" vertical="center"/>
    </xf>
    <xf numFmtId="0" fontId="27" fillId="0" borderId="9" xfId="14" applyFont="1" applyFill="1" applyBorder="1" applyAlignment="1">
      <alignment horizontal="center" vertical="center"/>
    </xf>
    <xf numFmtId="0" fontId="28" fillId="0" borderId="0" xfId="14" applyFont="1" applyFill="1" applyBorder="1" applyAlignment="1">
      <alignment vertical="center"/>
    </xf>
    <xf numFmtId="0" fontId="28" fillId="0" borderId="19" xfId="14" applyFont="1" applyFill="1" applyBorder="1" applyAlignment="1">
      <alignment horizontal="center" vertical="center"/>
    </xf>
    <xf numFmtId="0" fontId="28" fillId="0" borderId="0" xfId="14" applyFont="1" applyFill="1" applyBorder="1" applyAlignment="1">
      <alignment horizontal="center" vertical="center"/>
    </xf>
    <xf numFmtId="0" fontId="28" fillId="0" borderId="9" xfId="14" applyFont="1" applyFill="1" applyBorder="1" applyAlignment="1">
      <alignment horizontal="center" vertical="center"/>
    </xf>
    <xf numFmtId="0" fontId="28" fillId="0" borderId="16" xfId="14" applyFont="1" applyFill="1" applyBorder="1" applyAlignment="1">
      <alignment horizontal="center" vertical="center"/>
    </xf>
    <xf numFmtId="0" fontId="33" fillId="0" borderId="0" xfId="14" applyFont="1" applyFill="1" applyBorder="1" applyAlignment="1">
      <alignment horizontal="center" vertical="center"/>
    </xf>
    <xf numFmtId="0" fontId="27" fillId="0" borderId="16" xfId="14" applyFont="1" applyFill="1" applyBorder="1" applyAlignment="1">
      <alignment vertical="center"/>
    </xf>
    <xf numFmtId="0" fontId="27" fillId="0" borderId="0" xfId="14" applyFont="1" applyFill="1" applyBorder="1" applyAlignment="1">
      <alignment vertical="center"/>
    </xf>
    <xf numFmtId="37" fontId="39" fillId="0" borderId="9" xfId="7" applyNumberFormat="1" applyFont="1" applyFill="1" applyBorder="1" applyAlignment="1">
      <alignment horizontal="center" vertical="center"/>
    </xf>
    <xf numFmtId="37" fontId="38" fillId="0" borderId="9" xfId="7" quotePrefix="1" applyNumberFormat="1" applyFont="1" applyFill="1" applyBorder="1" applyAlignment="1">
      <alignment horizontal="center"/>
    </xf>
    <xf numFmtId="37" fontId="15" fillId="0" borderId="0" xfId="0" applyNumberFormat="1" applyFont="1" applyFill="1" applyAlignment="1"/>
    <xf numFmtId="37" fontId="32" fillId="0" borderId="0" xfId="18" quotePrefix="1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vertical="top"/>
    </xf>
    <xf numFmtId="37" fontId="15" fillId="0" borderId="8" xfId="0" applyNumberFormat="1" applyFont="1" applyFill="1" applyBorder="1" applyAlignment="1"/>
    <xf numFmtId="37" fontId="7" fillId="0" borderId="0" xfId="0" applyNumberFormat="1" applyFont="1" applyFill="1" applyAlignment="1">
      <alignment vertical="top" wrapText="1"/>
    </xf>
    <xf numFmtId="37" fontId="14" fillId="0" borderId="4" xfId="0" applyNumberFormat="1" applyFont="1" applyFill="1" applyBorder="1"/>
    <xf numFmtId="37" fontId="27" fillId="0" borderId="0" xfId="0" applyNumberFormat="1" applyFont="1" applyFill="1"/>
    <xf numFmtId="37" fontId="28" fillId="0" borderId="9" xfId="14" applyNumberFormat="1" applyFont="1" applyFill="1" applyBorder="1"/>
    <xf numFmtId="37" fontId="28" fillId="2" borderId="9" xfId="14" applyNumberFormat="1" applyFont="1" applyFill="1" applyBorder="1"/>
    <xf numFmtId="0" fontId="43" fillId="0" borderId="0" xfId="14" applyFont="1" applyFill="1" applyBorder="1" applyAlignment="1">
      <alignment horizontal="center"/>
    </xf>
    <xf numFmtId="166" fontId="27" fillId="0" borderId="0" xfId="29" applyNumberFormat="1" applyFont="1" applyFill="1" applyBorder="1"/>
    <xf numFmtId="37" fontId="44" fillId="0" borderId="0" xfId="0" applyNumberFormat="1" applyFont="1" applyFill="1" applyBorder="1" applyAlignment="1"/>
    <xf numFmtId="165" fontId="28" fillId="0" borderId="9" xfId="32" applyNumberFormat="1" applyFont="1" applyBorder="1"/>
    <xf numFmtId="37" fontId="28" fillId="0" borderId="9" xfId="32" applyNumberFormat="1" applyFont="1" applyBorder="1"/>
    <xf numFmtId="3" fontId="28" fillId="0" borderId="9" xfId="32" applyNumberFormat="1" applyFont="1" applyBorder="1"/>
    <xf numFmtId="0" fontId="37" fillId="0" borderId="9" xfId="14" applyFont="1" applyFill="1" applyBorder="1"/>
    <xf numFmtId="37" fontId="45" fillId="0" borderId="0" xfId="0" applyNumberFormat="1" applyFont="1" applyFill="1" applyBorder="1" applyAlignment="1"/>
    <xf numFmtId="37" fontId="15" fillId="0" borderId="0" xfId="0" quotePrefix="1" applyNumberFormat="1" applyFont="1" applyFill="1" applyAlignment="1">
      <alignment horizontal="center"/>
    </xf>
    <xf numFmtId="0" fontId="18" fillId="0" borderId="0" xfId="33" applyFont="1" applyFill="1" applyBorder="1"/>
    <xf numFmtId="0" fontId="16" fillId="0" borderId="0" xfId="33" applyFont="1" applyFill="1" applyBorder="1"/>
    <xf numFmtId="0" fontId="15" fillId="0" borderId="0" xfId="33" applyFont="1" applyFill="1" applyBorder="1"/>
    <xf numFmtId="0" fontId="9" fillId="0" borderId="0" xfId="33" applyFont="1" applyFill="1" applyBorder="1" applyAlignment="1">
      <alignment horizontal="right"/>
    </xf>
    <xf numFmtId="0" fontId="36" fillId="0" borderId="0" xfId="33" applyFont="1" applyFill="1" applyBorder="1"/>
    <xf numFmtId="0" fontId="16" fillId="0" borderId="0" xfId="33" applyFont="1" applyFill="1"/>
    <xf numFmtId="0" fontId="16" fillId="0" borderId="1" xfId="33" applyFont="1" applyFill="1" applyBorder="1"/>
    <xf numFmtId="0" fontId="7" fillId="0" borderId="26" xfId="33" applyFont="1" applyFill="1" applyBorder="1" applyAlignment="1">
      <alignment horizontal="center" wrapText="1"/>
    </xf>
    <xf numFmtId="0" fontId="7" fillId="0" borderId="1" xfId="33" applyFont="1" applyFill="1" applyBorder="1" applyAlignment="1">
      <alignment horizontal="center" wrapText="1"/>
    </xf>
    <xf numFmtId="0" fontId="7" fillId="0" borderId="27" xfId="33" applyFont="1" applyFill="1" applyBorder="1" applyAlignment="1">
      <alignment horizontal="center" wrapText="1"/>
    </xf>
    <xf numFmtId="0" fontId="7" fillId="0" borderId="0" xfId="33" applyFont="1" applyFill="1" applyAlignment="1">
      <alignment horizontal="center" wrapText="1"/>
    </xf>
    <xf numFmtId="0" fontId="16" fillId="0" borderId="23" xfId="33" applyFont="1" applyFill="1" applyBorder="1" applyAlignment="1">
      <alignment horizontal="center" wrapText="1"/>
    </xf>
    <xf numFmtId="0" fontId="16" fillId="0" borderId="0" xfId="33" applyFont="1" applyFill="1" applyBorder="1" applyAlignment="1">
      <alignment horizontal="center" wrapText="1"/>
    </xf>
    <xf numFmtId="0" fontId="16" fillId="0" borderId="22" xfId="33" applyFont="1" applyFill="1" applyBorder="1" applyAlignment="1">
      <alignment horizontal="center" wrapText="1"/>
    </xf>
    <xf numFmtId="0" fontId="16" fillId="0" borderId="0" xfId="33" applyFont="1" applyFill="1" applyAlignment="1">
      <alignment horizontal="center" wrapText="1"/>
    </xf>
    <xf numFmtId="5" fontId="16" fillId="0" borderId="23" xfId="33" applyNumberFormat="1" applyFont="1" applyFill="1" applyBorder="1"/>
    <xf numFmtId="5" fontId="16" fillId="0" borderId="0" xfId="33" applyNumberFormat="1" applyFont="1" applyFill="1" applyBorder="1"/>
    <xf numFmtId="5" fontId="16" fillId="0" borderId="0" xfId="33" applyNumberFormat="1" applyFont="1" applyFill="1"/>
    <xf numFmtId="37" fontId="16" fillId="0" borderId="23" xfId="33" applyNumberFormat="1" applyFont="1" applyFill="1" applyBorder="1"/>
    <xf numFmtId="37" fontId="16" fillId="0" borderId="0" xfId="33" applyNumberFormat="1" applyFont="1" applyFill="1" applyBorder="1"/>
    <xf numFmtId="37" fontId="16" fillId="0" borderId="22" xfId="33" applyNumberFormat="1" applyFont="1" applyFill="1" applyBorder="1"/>
    <xf numFmtId="0" fontId="14" fillId="0" borderId="0" xfId="33" applyFont="1" applyFill="1"/>
    <xf numFmtId="0" fontId="7" fillId="0" borderId="0" xfId="33" applyFont="1" applyFill="1"/>
    <xf numFmtId="166" fontId="7" fillId="0" borderId="0" xfId="33" applyNumberFormat="1" applyFont="1" applyFill="1"/>
    <xf numFmtId="0" fontId="14" fillId="0" borderId="0" xfId="33" applyNumberFormat="1" applyFont="1" applyFill="1" applyAlignment="1"/>
    <xf numFmtId="5" fontId="7" fillId="0" borderId="0" xfId="33" applyNumberFormat="1" applyFont="1" applyFill="1"/>
    <xf numFmtId="7" fontId="16" fillId="0" borderId="0" xfId="33" applyNumberFormat="1" applyFont="1" applyFill="1"/>
    <xf numFmtId="0" fontId="16" fillId="0" borderId="0" xfId="33" applyFont="1" applyFill="1" applyAlignment="1">
      <alignment horizontal="center"/>
    </xf>
    <xf numFmtId="0" fontId="7" fillId="0" borderId="0" xfId="33" applyFont="1" applyFill="1" applyAlignment="1">
      <alignment horizontal="center"/>
    </xf>
    <xf numFmtId="7" fontId="7" fillId="0" borderId="0" xfId="33" applyNumberFormat="1" applyFont="1" applyFill="1" applyAlignment="1">
      <alignment horizontal="center"/>
    </xf>
    <xf numFmtId="5" fontId="16" fillId="0" borderId="0" xfId="33" applyNumberFormat="1" applyFont="1" applyFill="1" applyAlignment="1">
      <alignment horizontal="center"/>
    </xf>
    <xf numFmtId="0" fontId="14" fillId="0" borderId="0" xfId="33" applyNumberFormat="1" applyFont="1" applyFill="1" applyAlignment="1">
      <alignment wrapText="1"/>
    </xf>
    <xf numFmtId="0" fontId="16" fillId="0" borderId="0" xfId="33" applyFont="1" applyFill="1" applyAlignment="1">
      <alignment vertical="center"/>
    </xf>
    <xf numFmtId="5" fontId="16" fillId="0" borderId="0" xfId="33" applyNumberFormat="1" applyFont="1" applyFill="1" applyAlignment="1">
      <alignment vertical="center"/>
    </xf>
    <xf numFmtId="7" fontId="16" fillId="0" borderId="0" xfId="33" applyNumberFormat="1" applyFont="1" applyFill="1" applyAlignment="1">
      <alignment vertical="center"/>
    </xf>
    <xf numFmtId="0" fontId="46" fillId="0" borderId="0" xfId="33" applyFont="1" applyFill="1" applyBorder="1"/>
    <xf numFmtId="0" fontId="7" fillId="0" borderId="33" xfId="33" applyFont="1" applyFill="1" applyBorder="1" applyAlignment="1">
      <alignment horizontal="center" wrapText="1"/>
    </xf>
    <xf numFmtId="0" fontId="41" fillId="0" borderId="0" xfId="33" applyFont="1" applyFill="1" applyBorder="1"/>
    <xf numFmtId="0" fontId="41" fillId="0" borderId="0" xfId="33" applyFont="1" applyFill="1" applyBorder="1" applyAlignment="1">
      <alignment horizontal="right"/>
    </xf>
    <xf numFmtId="0" fontId="41" fillId="0" borderId="0" xfId="33" applyFont="1" applyFill="1" applyBorder="1" applyAlignment="1">
      <alignment horizontal="center"/>
    </xf>
    <xf numFmtId="0" fontId="36" fillId="0" borderId="0" xfId="17" applyFont="1" applyFill="1"/>
    <xf numFmtId="0" fontId="7" fillId="0" borderId="28" xfId="33" applyFont="1" applyFill="1" applyBorder="1" applyAlignment="1">
      <alignment horizontal="center" wrapText="1"/>
    </xf>
    <xf numFmtId="0" fontId="16" fillId="0" borderId="30" xfId="33" applyFont="1" applyFill="1" applyBorder="1" applyAlignment="1">
      <alignment horizontal="center" wrapText="1"/>
    </xf>
    <xf numFmtId="5" fontId="16" fillId="0" borderId="30" xfId="33" applyNumberFormat="1" applyFont="1" applyFill="1" applyBorder="1"/>
    <xf numFmtId="37" fontId="16" fillId="0" borderId="30" xfId="33" applyNumberFormat="1" applyFont="1" applyFill="1" applyBorder="1"/>
    <xf numFmtId="37" fontId="15" fillId="0" borderId="1" xfId="0" quotePrefix="1" applyNumberFormat="1" applyFont="1" applyFill="1" applyBorder="1" applyAlignment="1">
      <alignment horizontal="center"/>
    </xf>
    <xf numFmtId="37" fontId="11" fillId="0" borderId="0" xfId="0" quotePrefix="1" applyNumberFormat="1" applyFont="1" applyFill="1" applyBorder="1" applyAlignment="1">
      <alignment horizontal="center" vertical="center" wrapText="1"/>
    </xf>
    <xf numFmtId="37" fontId="17" fillId="0" borderId="0" xfId="0" applyNumberFormat="1" applyFont="1" applyFill="1" applyBorder="1" applyAlignment="1">
      <alignment horizontal="center" vertical="center"/>
    </xf>
    <xf numFmtId="37" fontId="17" fillId="0" borderId="4" xfId="0" applyNumberFormat="1" applyFont="1" applyFill="1" applyBorder="1" applyAlignment="1">
      <alignment horizontal="center" vertical="center"/>
    </xf>
    <xf numFmtId="37" fontId="47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Alignment="1">
      <alignment horizontal="center" vertical="center"/>
    </xf>
    <xf numFmtId="37" fontId="14" fillId="0" borderId="4" xfId="0" applyNumberFormat="1" applyFont="1" applyFill="1" applyBorder="1" applyAlignment="1"/>
    <xf numFmtId="0" fontId="47" fillId="0" borderId="23" xfId="33" applyFont="1" applyFill="1" applyBorder="1" applyAlignment="1">
      <alignment horizontal="center" vertical="center" wrapText="1"/>
    </xf>
    <xf numFmtId="0" fontId="47" fillId="0" borderId="0" xfId="33" applyFont="1" applyFill="1" applyBorder="1" applyAlignment="1">
      <alignment horizontal="center" vertical="center" wrapText="1"/>
    </xf>
    <xf numFmtId="37" fontId="11" fillId="0" borderId="0" xfId="14" quotePrefix="1" applyNumberFormat="1" applyFont="1" applyFill="1" applyAlignment="1">
      <alignment horizontal="center" vertical="center"/>
    </xf>
    <xf numFmtId="0" fontId="47" fillId="0" borderId="38" xfId="33" applyFont="1" applyFill="1" applyBorder="1" applyAlignment="1">
      <alignment horizontal="center" vertical="center" wrapText="1"/>
    </xf>
    <xf numFmtId="0" fontId="47" fillId="0" borderId="37" xfId="33" applyFont="1" applyFill="1" applyBorder="1" applyAlignment="1">
      <alignment horizontal="center" vertical="center" wrapText="1"/>
    </xf>
    <xf numFmtId="37" fontId="11" fillId="0" borderId="0" xfId="14" quotePrefix="1" applyNumberFormat="1" applyFont="1" applyFill="1" applyBorder="1" applyAlignment="1">
      <alignment horizontal="center" vertical="center"/>
    </xf>
    <xf numFmtId="37" fontId="11" fillId="0" borderId="30" xfId="14" quotePrefix="1" applyNumberFormat="1" applyFont="1" applyFill="1" applyBorder="1" applyAlignment="1">
      <alignment horizontal="center" vertical="center"/>
    </xf>
    <xf numFmtId="37" fontId="11" fillId="0" borderId="0" xfId="14" applyNumberFormat="1" applyFont="1" applyFill="1" applyBorder="1" applyAlignment="1">
      <alignment horizontal="center" vertical="center"/>
    </xf>
    <xf numFmtId="37" fontId="11" fillId="0" borderId="37" xfId="14" applyNumberFormat="1" applyFont="1" applyFill="1" applyBorder="1" applyAlignment="1">
      <alignment horizontal="center" vertical="center"/>
    </xf>
    <xf numFmtId="0" fontId="47" fillId="0" borderId="0" xfId="33" applyFont="1" applyFill="1" applyAlignment="1">
      <alignment horizontal="center" vertical="center" wrapText="1"/>
    </xf>
    <xf numFmtId="37" fontId="16" fillId="0" borderId="0" xfId="33" applyNumberFormat="1" applyFont="1" applyFill="1" applyBorder="1" applyAlignment="1">
      <alignment horizontal="right"/>
    </xf>
    <xf numFmtId="0" fontId="28" fillId="0" borderId="0" xfId="33" applyFont="1" applyFill="1" applyBorder="1" applyAlignment="1">
      <alignment horizontal="left"/>
    </xf>
    <xf numFmtId="37" fontId="27" fillId="0" borderId="0" xfId="18" applyNumberFormat="1" applyFont="1" applyFill="1" applyAlignment="1">
      <alignment horizontal="left" vertical="top" wrapText="1"/>
    </xf>
    <xf numFmtId="37" fontId="29" fillId="0" borderId="0" xfId="14" applyNumberFormat="1" applyFont="1" applyFill="1" applyAlignment="1">
      <alignment horizontal="left"/>
    </xf>
    <xf numFmtId="37" fontId="31" fillId="0" borderId="0" xfId="35" applyNumberFormat="1" applyFont="1" applyFill="1"/>
    <xf numFmtId="37" fontId="31" fillId="0" borderId="0" xfId="14" applyNumberFormat="1" applyFont="1" applyFill="1" applyAlignment="1">
      <alignment horizontal="left"/>
    </xf>
    <xf numFmtId="37" fontId="31" fillId="0" borderId="0" xfId="35" applyNumberFormat="1" applyFont="1" applyFill="1" applyBorder="1"/>
    <xf numFmtId="37" fontId="50" fillId="0" borderId="0" xfId="35" applyNumberFormat="1" applyFont="1" applyFill="1" applyBorder="1"/>
    <xf numFmtId="37" fontId="50" fillId="0" borderId="0" xfId="35" applyNumberFormat="1" applyFont="1" applyFill="1"/>
    <xf numFmtId="37" fontId="32" fillId="0" borderId="0" xfId="35" applyNumberFormat="1" applyFont="1" applyFill="1"/>
    <xf numFmtId="37" fontId="32" fillId="0" borderId="0" xfId="36" applyNumberFormat="1" applyFont="1" applyFill="1" applyBorder="1" applyAlignment="1"/>
    <xf numFmtId="37" fontId="32" fillId="0" borderId="0" xfId="35" applyNumberFormat="1" applyFont="1" applyFill="1" applyAlignment="1">
      <alignment horizontal="center"/>
    </xf>
    <xf numFmtId="37" fontId="32" fillId="0" borderId="0" xfId="35" applyNumberFormat="1" applyFont="1" applyFill="1" applyBorder="1" applyAlignment="1">
      <alignment horizontal="center"/>
    </xf>
    <xf numFmtId="37" fontId="32" fillId="0" borderId="0" xfId="35" quotePrefix="1" applyNumberFormat="1" applyFont="1" applyFill="1" applyBorder="1" applyAlignment="1">
      <alignment horizontal="center"/>
    </xf>
    <xf numFmtId="37" fontId="33" fillId="0" borderId="0" xfId="35" applyNumberFormat="1" applyFont="1" applyFill="1" applyBorder="1" applyAlignment="1">
      <alignment horizontal="center"/>
    </xf>
    <xf numFmtId="37" fontId="28" fillId="0" borderId="0" xfId="35" applyNumberFormat="1" applyFont="1" applyFill="1"/>
    <xf numFmtId="37" fontId="38" fillId="0" borderId="0" xfId="36" applyNumberFormat="1" applyFont="1" applyFill="1" applyBorder="1" applyAlignment="1">
      <alignment horizontal="center"/>
    </xf>
    <xf numFmtId="37" fontId="49" fillId="0" borderId="0" xfId="35" applyNumberFormat="1" applyFont="1" applyFill="1" applyAlignment="1">
      <alignment horizontal="center" vertical="center"/>
    </xf>
    <xf numFmtId="37" fontId="39" fillId="0" borderId="0" xfId="36" quotePrefix="1" applyNumberFormat="1" applyFont="1" applyFill="1" applyBorder="1" applyAlignment="1">
      <alignment horizontal="center" vertical="center"/>
    </xf>
    <xf numFmtId="37" fontId="38" fillId="0" borderId="0" xfId="36" quotePrefix="1" applyNumberFormat="1" applyFont="1" applyFill="1" applyBorder="1" applyAlignment="1">
      <alignment horizontal="center"/>
    </xf>
    <xf numFmtId="37" fontId="38" fillId="0" borderId="4" xfId="36" quotePrefix="1" applyNumberFormat="1" applyFont="1" applyFill="1" applyBorder="1" applyAlignment="1">
      <alignment horizontal="center"/>
    </xf>
    <xf numFmtId="5" fontId="31" fillId="0" borderId="0" xfId="35" applyNumberFormat="1" applyFont="1" applyFill="1"/>
    <xf numFmtId="37" fontId="31" fillId="0" borderId="0" xfId="36" applyNumberFormat="1" applyFont="1" applyFill="1"/>
    <xf numFmtId="37" fontId="31" fillId="0" borderId="0" xfId="36" applyNumberFormat="1" applyFont="1" applyFill="1" applyBorder="1"/>
    <xf numFmtId="37" fontId="52" fillId="0" borderId="0" xfId="35" applyNumberFormat="1" applyFont="1" applyFill="1" applyBorder="1"/>
    <xf numFmtId="37" fontId="39" fillId="0" borderId="0" xfId="0" applyNumberFormat="1" applyFont="1" applyFill="1" applyAlignment="1">
      <alignment horizontal="center" vertical="center" wrapText="1"/>
    </xf>
    <xf numFmtId="37" fontId="7" fillId="3" borderId="0" xfId="14" applyNumberFormat="1" applyFont="1" applyFill="1" applyBorder="1" applyAlignment="1"/>
    <xf numFmtId="37" fontId="7" fillId="0" borderId="0" xfId="14" applyNumberFormat="1" applyFont="1" applyFill="1" applyBorder="1" applyAlignment="1"/>
    <xf numFmtId="37" fontId="7" fillId="0" borderId="0" xfId="14" applyNumberFormat="1" applyFont="1" applyFill="1" applyAlignment="1"/>
    <xf numFmtId="37" fontId="11" fillId="3" borderId="0" xfId="14" applyNumberFormat="1" applyFont="1" applyFill="1" applyBorder="1" applyAlignment="1">
      <alignment horizontal="center" vertical="center" wrapText="1"/>
    </xf>
    <xf numFmtId="37" fontId="17" fillId="0" borderId="0" xfId="14" applyNumberFormat="1" applyFont="1" applyFill="1" applyBorder="1" applyAlignment="1">
      <alignment horizontal="center" vertical="center" wrapText="1"/>
    </xf>
    <xf numFmtId="37" fontId="50" fillId="0" borderId="0" xfId="36" applyNumberFormat="1" applyFont="1" applyFill="1" applyBorder="1"/>
    <xf numFmtId="5" fontId="7" fillId="0" borderId="4" xfId="0" applyNumberFormat="1" applyFont="1" applyFill="1" applyBorder="1" applyAlignment="1"/>
    <xf numFmtId="5" fontId="7" fillId="0" borderId="0" xfId="0" applyNumberFormat="1" applyFont="1" applyFill="1" applyAlignment="1"/>
    <xf numFmtId="5" fontId="7" fillId="0" borderId="0" xfId="0" applyNumberFormat="1" applyFont="1" applyFill="1" applyBorder="1" applyAlignment="1"/>
    <xf numFmtId="5" fontId="7" fillId="0" borderId="0" xfId="0" applyNumberFormat="1" applyFont="1" applyFill="1" applyBorder="1"/>
    <xf numFmtId="37" fontId="7" fillId="0" borderId="4" xfId="0" applyNumberFormat="1" applyFont="1" applyFill="1" applyBorder="1" applyAlignment="1"/>
    <xf numFmtId="37" fontId="7" fillId="0" borderId="0" xfId="13" applyNumberFormat="1" applyFont="1" applyFill="1" applyAlignment="1">
      <alignment vertical="top"/>
    </xf>
    <xf numFmtId="37" fontId="7" fillId="0" borderId="4" xfId="13" applyNumberFormat="1" applyFont="1" applyFill="1" applyBorder="1" applyAlignment="1">
      <alignment vertical="top"/>
    </xf>
    <xf numFmtId="37" fontId="7" fillId="0" borderId="0" xfId="0" applyNumberFormat="1" applyFont="1" applyFill="1" applyBorder="1"/>
    <xf numFmtId="5" fontId="7" fillId="0" borderId="2" xfId="0" applyNumberFormat="1" applyFont="1" applyFill="1" applyBorder="1"/>
    <xf numFmtId="5" fontId="7" fillId="0" borderId="6" xfId="0" applyNumberFormat="1" applyFont="1" applyFill="1" applyBorder="1" applyAlignment="1"/>
    <xf numFmtId="5" fontId="7" fillId="0" borderId="2" xfId="0" applyNumberFormat="1" applyFont="1" applyFill="1" applyBorder="1" applyAlignment="1"/>
    <xf numFmtId="166" fontId="27" fillId="0" borderId="0" xfId="34" applyNumberFormat="1" applyFont="1" applyBorder="1"/>
    <xf numFmtId="37" fontId="13" fillId="0" borderId="0" xfId="0" applyNumberFormat="1" applyFont="1" applyFill="1" applyBorder="1" applyAlignment="1"/>
    <xf numFmtId="5" fontId="7" fillId="0" borderId="3" xfId="0" applyNumberFormat="1" applyFont="1" applyFill="1" applyBorder="1"/>
    <xf numFmtId="5" fontId="7" fillId="0" borderId="7" xfId="0" applyNumberFormat="1" applyFont="1" applyFill="1" applyBorder="1" applyAlignment="1"/>
    <xf numFmtId="5" fontId="7" fillId="0" borderId="3" xfId="0" applyNumberFormat="1" applyFont="1" applyFill="1" applyBorder="1" applyAlignment="1"/>
    <xf numFmtId="5" fontId="27" fillId="0" borderId="0" xfId="35" applyNumberFormat="1" applyFont="1" applyFill="1"/>
    <xf numFmtId="5" fontId="27" fillId="0" borderId="0" xfId="36" applyNumberFormat="1" applyFont="1" applyFill="1" applyBorder="1"/>
    <xf numFmtId="5" fontId="27" fillId="0" borderId="4" xfId="36" applyNumberFormat="1" applyFont="1" applyFill="1" applyBorder="1"/>
    <xf numFmtId="5" fontId="51" fillId="0" borderId="0" xfId="36" applyNumberFormat="1" applyFont="1" applyFill="1" applyBorder="1"/>
    <xf numFmtId="5" fontId="27" fillId="0" borderId="9" xfId="7" applyNumberFormat="1" applyFont="1" applyFill="1" applyBorder="1"/>
    <xf numFmtId="5" fontId="27" fillId="0" borderId="0" xfId="7" applyNumberFormat="1" applyFont="1" applyFill="1" applyBorder="1"/>
    <xf numFmtId="5" fontId="27" fillId="0" borderId="4" xfId="7" applyNumberFormat="1" applyFont="1" applyFill="1" applyBorder="1"/>
    <xf numFmtId="37" fontId="27" fillId="0" borderId="0" xfId="35" applyNumberFormat="1" applyFont="1" applyFill="1"/>
    <xf numFmtId="37" fontId="27" fillId="0" borderId="0" xfId="36" applyNumberFormat="1" applyFont="1" applyFill="1" applyBorder="1"/>
    <xf numFmtId="37" fontId="27" fillId="0" borderId="4" xfId="36" applyNumberFormat="1" applyFont="1" applyFill="1" applyBorder="1"/>
    <xf numFmtId="37" fontId="51" fillId="0" borderId="0" xfId="36" applyNumberFormat="1" applyFont="1" applyFill="1" applyBorder="1"/>
    <xf numFmtId="37" fontId="27" fillId="0" borderId="9" xfId="7" applyNumberFormat="1" applyFont="1" applyFill="1" applyBorder="1"/>
    <xf numFmtId="37" fontId="27" fillId="0" borderId="0" xfId="7" applyNumberFormat="1" applyFont="1" applyFill="1" applyBorder="1"/>
    <xf numFmtId="37" fontId="27" fillId="0" borderId="4" xfId="7" applyNumberFormat="1" applyFont="1" applyFill="1" applyBorder="1"/>
    <xf numFmtId="37" fontId="27" fillId="0" borderId="2" xfId="35" applyNumberFormat="1" applyFont="1" applyFill="1" applyBorder="1"/>
    <xf numFmtId="5" fontId="27" fillId="0" borderId="2" xfId="36" applyNumberFormat="1" applyFont="1" applyFill="1" applyBorder="1"/>
    <xf numFmtId="5" fontId="27" fillId="0" borderId="6" xfId="36" applyNumberFormat="1" applyFont="1" applyFill="1" applyBorder="1"/>
    <xf numFmtId="5" fontId="27" fillId="0" borderId="16" xfId="36" applyNumberFormat="1" applyFont="1" applyFill="1" applyBorder="1"/>
    <xf numFmtId="5" fontId="27" fillId="0" borderId="2" xfId="7" applyNumberFormat="1" applyFont="1" applyFill="1" applyBorder="1"/>
    <xf numFmtId="37" fontId="27" fillId="0" borderId="0" xfId="35" applyNumberFormat="1" applyFont="1" applyFill="1" applyBorder="1"/>
    <xf numFmtId="37" fontId="27" fillId="0" borderId="8" xfId="36" applyNumberFormat="1" applyFont="1" applyFill="1" applyBorder="1"/>
    <xf numFmtId="37" fontId="27" fillId="0" borderId="17" xfId="7" applyNumberFormat="1" applyFont="1" applyFill="1" applyBorder="1"/>
    <xf numFmtId="37" fontId="27" fillId="0" borderId="8" xfId="7" applyNumberFormat="1" applyFont="1" applyFill="1" applyBorder="1"/>
    <xf numFmtId="37" fontId="27" fillId="0" borderId="35" xfId="7" applyNumberFormat="1" applyFont="1" applyFill="1" applyBorder="1"/>
    <xf numFmtId="37" fontId="27" fillId="0" borderId="3" xfId="35" applyNumberFormat="1" applyFont="1" applyFill="1" applyBorder="1"/>
    <xf numFmtId="5" fontId="27" fillId="0" borderId="3" xfId="36" applyNumberFormat="1" applyFont="1" applyFill="1" applyBorder="1"/>
    <xf numFmtId="5" fontId="27" fillId="0" borderId="7" xfId="36" applyNumberFormat="1" applyFont="1" applyFill="1" applyBorder="1"/>
    <xf numFmtId="5" fontId="27" fillId="0" borderId="3" xfId="7" applyNumberFormat="1" applyFont="1" applyFill="1" applyBorder="1"/>
    <xf numFmtId="37" fontId="27" fillId="0" borderId="0" xfId="36" applyNumberFormat="1" applyFont="1" applyFill="1"/>
    <xf numFmtId="37" fontId="27" fillId="0" borderId="0" xfId="7" applyNumberFormat="1" applyFont="1" applyFill="1"/>
    <xf numFmtId="37" fontId="27" fillId="0" borderId="0" xfId="18" applyNumberFormat="1" applyFont="1" applyFill="1"/>
    <xf numFmtId="37" fontId="61" fillId="0" borderId="0" xfId="36" applyNumberFormat="1" applyFont="1" applyFill="1"/>
    <xf numFmtId="37" fontId="28" fillId="0" borderId="0" xfId="35" applyNumberFormat="1" applyFont="1" applyFill="1" applyAlignment="1">
      <alignment wrapText="1"/>
    </xf>
    <xf numFmtId="37" fontId="63" fillId="0" borderId="5" xfId="0" applyNumberFormat="1" applyFont="1" applyFill="1" applyBorder="1" applyAlignment="1">
      <alignment horizontal="center" wrapText="1"/>
    </xf>
    <xf numFmtId="37" fontId="28" fillId="0" borderId="5" xfId="36" applyNumberFormat="1" applyFont="1" applyFill="1" applyBorder="1" applyAlignment="1">
      <alignment horizontal="center" wrapText="1"/>
    </xf>
    <xf numFmtId="37" fontId="16" fillId="0" borderId="0" xfId="0" applyNumberFormat="1" applyFont="1" applyFill="1" applyBorder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37" fontId="38" fillId="0" borderId="0" xfId="36" applyNumberFormat="1" applyFont="1" applyFill="1" applyBorder="1" applyAlignment="1">
      <alignment horizontal="center" wrapText="1"/>
    </xf>
    <xf numFmtId="37" fontId="28" fillId="0" borderId="0" xfId="36" quotePrefix="1" applyNumberFormat="1" applyFont="1" applyFill="1" applyBorder="1" applyAlignment="1">
      <alignment horizontal="center" wrapText="1"/>
    </xf>
    <xf numFmtId="37" fontId="28" fillId="0" borderId="10" xfId="7" applyNumberFormat="1" applyFont="1" applyFill="1" applyBorder="1" applyAlignment="1">
      <alignment horizontal="center" wrapText="1"/>
    </xf>
    <xf numFmtId="37" fontId="28" fillId="0" borderId="11" xfId="7" applyNumberFormat="1" applyFont="1" applyFill="1" applyBorder="1" applyAlignment="1">
      <alignment horizontal="center" wrapText="1"/>
    </xf>
    <xf numFmtId="37" fontId="28" fillId="0" borderId="5" xfId="7" applyNumberFormat="1" applyFont="1" applyFill="1" applyBorder="1" applyAlignment="1">
      <alignment horizontal="center" wrapText="1"/>
    </xf>
    <xf numFmtId="37" fontId="13" fillId="0" borderId="0" xfId="0" applyNumberFormat="1" applyFont="1" applyFill="1" applyAlignment="1">
      <alignment horizontal="left" vertical="top"/>
    </xf>
    <xf numFmtId="5" fontId="14" fillId="0" borderId="3" xfId="0" applyNumberFormat="1" applyFont="1" applyFill="1" applyBorder="1"/>
    <xf numFmtId="37" fontId="64" fillId="0" borderId="0" xfId="0" applyNumberFormat="1" applyFont="1" applyFill="1" applyAlignment="1"/>
    <xf numFmtId="37" fontId="7" fillId="0" borderId="0" xfId="0" applyNumberFormat="1" applyFont="1" applyFill="1" applyBorder="1" applyAlignment="1">
      <alignment vertical="top"/>
    </xf>
    <xf numFmtId="37" fontId="7" fillId="0" borderId="0" xfId="0" applyNumberFormat="1" applyFont="1" applyFill="1" applyAlignment="1">
      <alignment horizontal="center" vertical="top"/>
    </xf>
    <xf numFmtId="37" fontId="27" fillId="0" borderId="0" xfId="0" applyNumberFormat="1" applyFont="1" applyFill="1" applyAlignment="1">
      <alignment horizontal="left" vertical="top" wrapText="1"/>
    </xf>
    <xf numFmtId="37" fontId="16" fillId="0" borderId="1" xfId="0" applyNumberFormat="1" applyFont="1" applyFill="1" applyBorder="1" applyAlignment="1">
      <alignment horizontal="center" wrapText="1"/>
    </xf>
    <xf numFmtId="37" fontId="16" fillId="0" borderId="0" xfId="0" applyNumberFormat="1" applyFont="1" applyFill="1" applyAlignment="1">
      <alignment vertical="center"/>
    </xf>
    <xf numFmtId="37" fontId="16" fillId="0" borderId="0" xfId="0" applyNumberFormat="1" applyFont="1" applyFill="1" applyBorder="1" applyAlignment="1">
      <alignment vertical="center"/>
    </xf>
    <xf numFmtId="37" fontId="15" fillId="0" borderId="11" xfId="0" applyNumberFormat="1" applyFont="1" applyFill="1" applyBorder="1" applyAlignment="1">
      <alignment horizontal="center"/>
    </xf>
    <xf numFmtId="37" fontId="15" fillId="0" borderId="11" xfId="0" applyNumberFormat="1" applyFont="1" applyFill="1" applyBorder="1" applyAlignment="1"/>
    <xf numFmtId="37" fontId="16" fillId="0" borderId="5" xfId="0" applyNumberFormat="1" applyFont="1" applyFill="1" applyBorder="1" applyAlignment="1">
      <alignment horizontal="center" wrapText="1"/>
    </xf>
    <xf numFmtId="37" fontId="19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Fill="1" applyBorder="1" applyAlignment="1">
      <alignment vertical="top"/>
    </xf>
    <xf numFmtId="37" fontId="7" fillId="0" borderId="23" xfId="33" applyNumberFormat="1" applyFont="1" applyFill="1" applyBorder="1"/>
    <xf numFmtId="37" fontId="7" fillId="0" borderId="0" xfId="33" applyNumberFormat="1" applyFont="1" applyFill="1" applyBorder="1" applyAlignment="1">
      <alignment horizontal="right"/>
    </xf>
    <xf numFmtId="37" fontId="7" fillId="0" borderId="0" xfId="33" applyNumberFormat="1" applyFont="1" applyFill="1" applyBorder="1"/>
    <xf numFmtId="37" fontId="7" fillId="0" borderId="22" xfId="33" applyNumberFormat="1" applyFont="1" applyFill="1" applyBorder="1"/>
    <xf numFmtId="37" fontId="7" fillId="0" borderId="30" xfId="33" applyNumberFormat="1" applyFont="1" applyFill="1" applyBorder="1"/>
    <xf numFmtId="5" fontId="8" fillId="0" borderId="25" xfId="33" applyNumberFormat="1" applyFont="1" applyFill="1" applyBorder="1"/>
    <xf numFmtId="37" fontId="7" fillId="0" borderId="2" xfId="33" applyNumberFormat="1" applyFont="1" applyFill="1" applyBorder="1"/>
    <xf numFmtId="5" fontId="7" fillId="0" borderId="2" xfId="33" applyNumberFormat="1" applyFont="1" applyFill="1" applyBorder="1"/>
    <xf numFmtId="37" fontId="7" fillId="0" borderId="24" xfId="33" applyNumberFormat="1" applyFont="1" applyFill="1" applyBorder="1"/>
    <xf numFmtId="5" fontId="7" fillId="0" borderId="31" xfId="33" applyNumberFormat="1" applyFont="1" applyFill="1" applyBorder="1"/>
    <xf numFmtId="5" fontId="8" fillId="0" borderId="23" xfId="33" applyNumberFormat="1" applyFont="1" applyFill="1" applyBorder="1"/>
    <xf numFmtId="5" fontId="7" fillId="0" borderId="0" xfId="33" applyNumberFormat="1" applyFont="1" applyFill="1" applyBorder="1"/>
    <xf numFmtId="5" fontId="7" fillId="0" borderId="30" xfId="33" applyNumberFormat="1" applyFont="1" applyFill="1" applyBorder="1"/>
    <xf numFmtId="5" fontId="7" fillId="0" borderId="23" xfId="33" applyNumberFormat="1" applyFont="1" applyFill="1" applyBorder="1"/>
    <xf numFmtId="0" fontId="7" fillId="0" borderId="23" xfId="33" applyFont="1" applyFill="1" applyBorder="1"/>
    <xf numFmtId="37" fontId="7" fillId="0" borderId="0" xfId="33" applyNumberFormat="1" applyFont="1" applyFill="1"/>
    <xf numFmtId="37" fontId="7" fillId="0" borderId="8" xfId="33" applyNumberFormat="1" applyFont="1" applyFill="1" applyBorder="1"/>
    <xf numFmtId="5" fontId="8" fillId="0" borderId="21" xfId="33" applyNumberFormat="1" applyFont="1" applyFill="1" applyBorder="1"/>
    <xf numFmtId="37" fontId="8" fillId="0" borderId="3" xfId="33" applyNumberFormat="1" applyFont="1" applyFill="1" applyBorder="1"/>
    <xf numFmtId="5" fontId="8" fillId="0" borderId="3" xfId="33" applyNumberFormat="1" applyFont="1" applyFill="1" applyBorder="1"/>
    <xf numFmtId="37" fontId="8" fillId="0" borderId="20" xfId="33" applyNumberFormat="1" applyFont="1" applyFill="1" applyBorder="1"/>
    <xf numFmtId="5" fontId="8" fillId="0" borderId="32" xfId="33" applyNumberFormat="1" applyFont="1" applyFill="1" applyBorder="1"/>
    <xf numFmtId="5" fontId="8" fillId="0" borderId="1" xfId="33" applyNumberFormat="1" applyFont="1" applyFill="1" applyBorder="1"/>
    <xf numFmtId="37" fontId="16" fillId="0" borderId="0" xfId="0" applyNumberFormat="1" applyFont="1" applyFill="1" applyBorder="1" applyAlignment="1">
      <alignment horizontal="center" wrapText="1"/>
    </xf>
    <xf numFmtId="37" fontId="65" fillId="0" borderId="4" xfId="0" applyNumberFormat="1" applyFont="1" applyFill="1" applyBorder="1" applyAlignment="1">
      <alignment horizontal="center" vertical="center" wrapText="1"/>
    </xf>
    <xf numFmtId="0" fontId="16" fillId="0" borderId="9" xfId="33" applyFont="1" applyFill="1" applyBorder="1"/>
    <xf numFmtId="0" fontId="7" fillId="0" borderId="9" xfId="33" applyFont="1" applyFill="1" applyBorder="1" applyAlignment="1">
      <alignment horizontal="center" wrapText="1"/>
    </xf>
    <xf numFmtId="0" fontId="47" fillId="0" borderId="9" xfId="33" applyFont="1" applyFill="1" applyBorder="1" applyAlignment="1">
      <alignment horizontal="center" vertical="center" wrapText="1"/>
    </xf>
    <xf numFmtId="0" fontId="16" fillId="0" borderId="9" xfId="33" applyFont="1" applyFill="1" applyBorder="1" applyAlignment="1">
      <alignment horizontal="center" wrapText="1"/>
    </xf>
    <xf numFmtId="0" fontId="7" fillId="0" borderId="9" xfId="33" applyFont="1" applyFill="1" applyBorder="1"/>
    <xf numFmtId="0" fontId="7" fillId="0" borderId="41" xfId="33" applyFont="1" applyFill="1" applyBorder="1" applyAlignment="1">
      <alignment horizontal="center" wrapText="1"/>
    </xf>
    <xf numFmtId="0" fontId="7" fillId="0" borderId="42" xfId="33" applyFont="1" applyFill="1" applyBorder="1" applyAlignment="1">
      <alignment horizontal="center" wrapText="1"/>
    </xf>
    <xf numFmtId="37" fontId="11" fillId="0" borderId="9" xfId="14" applyNumberFormat="1" applyFont="1" applyFill="1" applyBorder="1" applyAlignment="1">
      <alignment horizontal="center" vertical="center" wrapText="1"/>
    </xf>
    <xf numFmtId="0" fontId="11" fillId="0" borderId="16" xfId="33" applyFont="1" applyFill="1" applyBorder="1" applyAlignment="1">
      <alignment horizontal="center" vertical="center" wrapText="1"/>
    </xf>
    <xf numFmtId="0" fontId="16" fillId="0" borderId="16" xfId="33" applyFont="1" applyFill="1" applyBorder="1" applyAlignment="1">
      <alignment horizontal="center" wrapText="1"/>
    </xf>
    <xf numFmtId="5" fontId="16" fillId="0" borderId="9" xfId="33" applyNumberFormat="1" applyFont="1" applyFill="1" applyBorder="1"/>
    <xf numFmtId="5" fontId="16" fillId="0" borderId="16" xfId="33" applyNumberFormat="1" applyFont="1" applyFill="1" applyBorder="1"/>
    <xf numFmtId="37" fontId="16" fillId="0" borderId="9" xfId="33" applyNumberFormat="1" applyFont="1" applyFill="1" applyBorder="1"/>
    <xf numFmtId="37" fontId="16" fillId="0" borderId="16" xfId="33" applyNumberFormat="1" applyFont="1" applyFill="1" applyBorder="1"/>
    <xf numFmtId="37" fontId="7" fillId="0" borderId="9" xfId="33" applyNumberFormat="1" applyFont="1" applyFill="1" applyBorder="1"/>
    <xf numFmtId="37" fontId="7" fillId="0" borderId="16" xfId="33" applyNumberFormat="1" applyFont="1" applyFill="1" applyBorder="1"/>
    <xf numFmtId="0" fontId="7" fillId="0" borderId="16" xfId="33" applyFont="1" applyFill="1" applyBorder="1"/>
    <xf numFmtId="5" fontId="7" fillId="0" borderId="34" xfId="33" applyNumberFormat="1" applyFont="1" applyFill="1" applyBorder="1"/>
    <xf numFmtId="5" fontId="7" fillId="0" borderId="39" xfId="33" applyNumberFormat="1" applyFont="1" applyFill="1" applyBorder="1"/>
    <xf numFmtId="5" fontId="7" fillId="0" borderId="9" xfId="33" applyNumberFormat="1" applyFont="1" applyFill="1" applyBorder="1"/>
    <xf numFmtId="37" fontId="7" fillId="0" borderId="17" xfId="33" applyNumberFormat="1" applyFont="1" applyFill="1" applyBorder="1"/>
    <xf numFmtId="37" fontId="7" fillId="0" borderId="18" xfId="33" applyNumberFormat="1" applyFont="1" applyFill="1" applyBorder="1"/>
    <xf numFmtId="5" fontId="27" fillId="0" borderId="6" xfId="7" applyNumberFormat="1" applyFont="1" applyFill="1" applyBorder="1"/>
    <xf numFmtId="5" fontId="27" fillId="0" borderId="7" xfId="7" applyNumberFormat="1" applyFont="1" applyFill="1" applyBorder="1"/>
    <xf numFmtId="37" fontId="33" fillId="0" borderId="4" xfId="36" quotePrefix="1" applyNumberFormat="1" applyFont="1" applyFill="1" applyBorder="1" applyAlignment="1">
      <alignment horizontal="center"/>
    </xf>
    <xf numFmtId="5" fontId="60" fillId="0" borderId="4" xfId="36" applyNumberFormat="1" applyFont="1" applyFill="1" applyBorder="1"/>
    <xf numFmtId="37" fontId="60" fillId="0" borderId="4" xfId="36" applyNumberFormat="1" applyFont="1" applyFill="1" applyBorder="1"/>
    <xf numFmtId="5" fontId="60" fillId="0" borderId="6" xfId="36" applyNumberFormat="1" applyFont="1" applyFill="1" applyBorder="1"/>
    <xf numFmtId="37" fontId="49" fillId="3" borderId="0" xfId="35" applyNumberFormat="1" applyFont="1" applyFill="1" applyBorder="1" applyAlignment="1">
      <alignment horizontal="center" vertical="center"/>
    </xf>
    <xf numFmtId="37" fontId="28" fillId="3" borderId="9" xfId="35" applyNumberFormat="1" applyFont="1" applyFill="1" applyBorder="1"/>
    <xf numFmtId="37" fontId="28" fillId="3" borderId="0" xfId="35" applyNumberFormat="1" applyFont="1" applyFill="1" applyBorder="1"/>
    <xf numFmtId="37" fontId="38" fillId="3" borderId="0" xfId="36" quotePrefix="1" applyNumberFormat="1" applyFont="1" applyFill="1" applyBorder="1" applyAlignment="1">
      <alignment horizontal="center"/>
    </xf>
    <xf numFmtId="5" fontId="27" fillId="3" borderId="9" xfId="35" applyNumberFormat="1" applyFont="1" applyFill="1" applyBorder="1"/>
    <xf numFmtId="5" fontId="27" fillId="3" borderId="0" xfId="35" applyNumberFormat="1" applyFont="1" applyFill="1" applyBorder="1"/>
    <xf numFmtId="5" fontId="27" fillId="3" borderId="0" xfId="36" applyNumberFormat="1" applyFont="1" applyFill="1" applyBorder="1"/>
    <xf numFmtId="37" fontId="27" fillId="3" borderId="9" xfId="35" applyNumberFormat="1" applyFont="1" applyFill="1" applyBorder="1"/>
    <xf numFmtId="37" fontId="27" fillId="3" borderId="0" xfId="35" applyNumberFormat="1" applyFont="1" applyFill="1" applyBorder="1"/>
    <xf numFmtId="37" fontId="27" fillId="3" borderId="0" xfId="36" applyNumberFormat="1" applyFont="1" applyFill="1" applyBorder="1"/>
    <xf numFmtId="37" fontId="27" fillId="3" borderId="34" xfId="35" applyNumberFormat="1" applyFont="1" applyFill="1" applyBorder="1"/>
    <xf numFmtId="37" fontId="27" fillId="3" borderId="2" xfId="35" applyNumberFormat="1" applyFont="1" applyFill="1" applyBorder="1"/>
    <xf numFmtId="5" fontId="27" fillId="3" borderId="2" xfId="36" applyNumberFormat="1" applyFont="1" applyFill="1" applyBorder="1"/>
    <xf numFmtId="37" fontId="7" fillId="3" borderId="9" xfId="14" applyNumberFormat="1" applyFont="1" applyFill="1" applyBorder="1" applyAlignment="1"/>
    <xf numFmtId="37" fontId="27" fillId="3" borderId="8" xfId="35" applyNumberFormat="1" applyFont="1" applyFill="1" applyBorder="1"/>
    <xf numFmtId="37" fontId="27" fillId="3" borderId="8" xfId="36" applyNumberFormat="1" applyFont="1" applyFill="1" applyBorder="1"/>
    <xf numFmtId="37" fontId="28" fillId="3" borderId="9" xfId="35" applyNumberFormat="1" applyFont="1" applyFill="1" applyBorder="1" applyAlignment="1">
      <alignment horizontal="center" wrapText="1"/>
    </xf>
    <xf numFmtId="37" fontId="28" fillId="3" borderId="0" xfId="35" applyNumberFormat="1" applyFont="1" applyFill="1" applyBorder="1" applyAlignment="1">
      <alignment wrapText="1"/>
    </xf>
    <xf numFmtId="37" fontId="28" fillId="3" borderId="0" xfId="36" applyNumberFormat="1" applyFont="1" applyFill="1" applyBorder="1" applyAlignment="1">
      <alignment horizontal="center" wrapText="1"/>
    </xf>
    <xf numFmtId="37" fontId="15" fillId="0" borderId="4" xfId="0" applyNumberFormat="1" applyFont="1" applyFill="1" applyBorder="1" applyAlignment="1">
      <alignment horizontal="center" wrapText="1"/>
    </xf>
    <xf numFmtId="37" fontId="16" fillId="3" borderId="0" xfId="0" applyNumberFormat="1" applyFont="1" applyFill="1" applyBorder="1" applyAlignment="1">
      <alignment horizontal="center" wrapText="1"/>
    </xf>
    <xf numFmtId="10" fontId="7" fillId="3" borderId="0" xfId="14" applyNumberFormat="1" applyFont="1" applyFill="1" applyBorder="1"/>
    <xf numFmtId="5" fontId="51" fillId="3" borderId="0" xfId="36" applyNumberFormat="1" applyFont="1" applyFill="1" applyBorder="1"/>
    <xf numFmtId="37" fontId="51" fillId="3" borderId="0" xfId="36" applyNumberFormat="1" applyFont="1" applyFill="1" applyBorder="1"/>
    <xf numFmtId="10" fontId="27" fillId="3" borderId="0" xfId="36" applyNumberFormat="1" applyFont="1" applyFill="1" applyBorder="1"/>
    <xf numFmtId="10" fontId="27" fillId="3" borderId="2" xfId="36" applyNumberFormat="1" applyFont="1" applyFill="1" applyBorder="1"/>
    <xf numFmtId="10" fontId="27" fillId="3" borderId="8" xfId="36" applyNumberFormat="1" applyFont="1" applyFill="1" applyBorder="1"/>
    <xf numFmtId="37" fontId="51" fillId="3" borderId="8" xfId="36" applyNumberFormat="1" applyFont="1" applyFill="1" applyBorder="1"/>
    <xf numFmtId="37" fontId="63" fillId="3" borderId="0" xfId="0" applyNumberFormat="1" applyFont="1" applyFill="1" applyBorder="1" applyAlignment="1">
      <alignment horizontal="center" wrapText="1"/>
    </xf>
    <xf numFmtId="37" fontId="39" fillId="3" borderId="0" xfId="36" quotePrefix="1" applyNumberFormat="1" applyFont="1" applyFill="1" applyBorder="1" applyAlignment="1">
      <alignment horizontal="center" vertical="center"/>
    </xf>
    <xf numFmtId="37" fontId="60" fillId="0" borderId="16" xfId="36" applyNumberFormat="1" applyFont="1" applyFill="1" applyBorder="1"/>
    <xf numFmtId="37" fontId="60" fillId="0" borderId="18" xfId="36" applyNumberFormat="1" applyFont="1" applyFill="1" applyBorder="1"/>
    <xf numFmtId="37" fontId="27" fillId="3" borderId="1" xfId="35" applyNumberFormat="1" applyFont="1" applyFill="1" applyBorder="1"/>
    <xf numFmtId="5" fontId="27" fillId="3" borderId="1" xfId="36" applyNumberFormat="1" applyFont="1" applyFill="1" applyBorder="1"/>
    <xf numFmtId="10" fontId="27" fillId="3" borderId="1" xfId="36" applyNumberFormat="1" applyFont="1" applyFill="1" applyBorder="1"/>
    <xf numFmtId="5" fontId="51" fillId="3" borderId="1" xfId="36" applyNumberFormat="1" applyFont="1" applyFill="1" applyBorder="1"/>
    <xf numFmtId="5" fontId="60" fillId="0" borderId="15" xfId="36" applyNumberFormat="1" applyFont="1" applyFill="1" applyBorder="1"/>
    <xf numFmtId="5" fontId="27" fillId="3" borderId="1" xfId="35" applyNumberFormat="1" applyFont="1" applyFill="1" applyBorder="1"/>
    <xf numFmtId="5" fontId="27" fillId="3" borderId="2" xfId="35" applyNumberFormat="1" applyFont="1" applyFill="1" applyBorder="1"/>
    <xf numFmtId="37" fontId="51" fillId="3" borderId="16" xfId="36" applyNumberFormat="1" applyFont="1" applyFill="1" applyBorder="1"/>
    <xf numFmtId="37" fontId="51" fillId="3" borderId="18" xfId="36" applyNumberFormat="1" applyFont="1" applyFill="1" applyBorder="1"/>
    <xf numFmtId="5" fontId="51" fillId="3" borderId="15" xfId="36" applyNumberFormat="1" applyFont="1" applyFill="1" applyBorder="1"/>
    <xf numFmtId="37" fontId="11" fillId="0" borderId="4" xfId="0" applyNumberFormat="1" applyFont="1" applyFill="1" applyBorder="1" applyAlignment="1">
      <alignment horizontal="center" vertical="center" wrapText="1"/>
    </xf>
    <xf numFmtId="37" fontId="51" fillId="0" borderId="4" xfId="36" applyNumberFormat="1" applyFont="1" applyFill="1" applyBorder="1"/>
    <xf numFmtId="37" fontId="27" fillId="0" borderId="1" xfId="35" applyNumberFormat="1" applyFont="1" applyFill="1" applyBorder="1"/>
    <xf numFmtId="37" fontId="28" fillId="0" borderId="0" xfId="35" applyNumberFormat="1" applyFont="1" applyFill="1" applyBorder="1" applyAlignment="1">
      <alignment horizontal="center" wrapText="1"/>
    </xf>
    <xf numFmtId="37" fontId="49" fillId="0" borderId="0" xfId="35" applyNumberFormat="1" applyFont="1" applyFill="1" applyBorder="1" applyAlignment="1">
      <alignment horizontal="center" vertical="center"/>
    </xf>
    <xf numFmtId="37" fontId="28" fillId="0" borderId="0" xfId="35" applyNumberFormat="1" applyFont="1" applyFill="1" applyBorder="1"/>
    <xf numFmtId="5" fontId="27" fillId="0" borderId="0" xfId="35" applyNumberFormat="1" applyFont="1" applyFill="1" applyBorder="1"/>
    <xf numFmtId="37" fontId="27" fillId="0" borderId="8" xfId="35" applyNumberFormat="1" applyFont="1" applyFill="1" applyBorder="1"/>
    <xf numFmtId="37" fontId="27" fillId="3" borderId="17" xfId="35" applyNumberFormat="1" applyFont="1" applyFill="1" applyBorder="1"/>
    <xf numFmtId="37" fontId="27" fillId="3" borderId="12" xfId="35" applyNumberFormat="1" applyFont="1" applyFill="1" applyBorder="1"/>
    <xf numFmtId="37" fontId="15" fillId="0" borderId="0" xfId="0" applyNumberFormat="1" applyFont="1" applyFill="1" applyBorder="1" applyAlignment="1">
      <alignment horizontal="center" wrapText="1"/>
    </xf>
    <xf numFmtId="37" fontId="56" fillId="0" borderId="0" xfId="36" quotePrefix="1" applyNumberFormat="1" applyFont="1" applyFill="1" applyBorder="1" applyAlignment="1">
      <alignment horizontal="center" vertical="center"/>
    </xf>
    <xf numFmtId="37" fontId="33" fillId="0" borderId="0" xfId="36" quotePrefix="1" applyNumberFormat="1" applyFont="1" applyFill="1" applyBorder="1" applyAlignment="1">
      <alignment horizontal="center"/>
    </xf>
    <xf numFmtId="5" fontId="60" fillId="0" borderId="0" xfId="36" applyNumberFormat="1" applyFont="1" applyFill="1" applyBorder="1"/>
    <xf numFmtId="37" fontId="60" fillId="0" borderId="0" xfId="36" applyNumberFormat="1" applyFont="1" applyFill="1" applyBorder="1"/>
    <xf numFmtId="5" fontId="60" fillId="0" borderId="2" xfId="36" applyNumberFormat="1" applyFont="1" applyFill="1" applyBorder="1"/>
    <xf numFmtId="37" fontId="60" fillId="0" borderId="8" xfId="36" applyNumberFormat="1" applyFont="1" applyFill="1" applyBorder="1"/>
    <xf numFmtId="5" fontId="60" fillId="0" borderId="3" xfId="36" applyNumberFormat="1" applyFont="1" applyFill="1" applyBorder="1"/>
    <xf numFmtId="37" fontId="9" fillId="0" borderId="0" xfId="0" quotePrefix="1" applyNumberFormat="1" applyFont="1" applyFill="1" applyAlignment="1">
      <alignment horizontal="center"/>
    </xf>
    <xf numFmtId="5" fontId="51" fillId="0" borderId="0" xfId="34" applyNumberFormat="1" applyFont="1" applyFill="1" applyBorder="1"/>
    <xf numFmtId="37" fontId="28" fillId="0" borderId="6" xfId="35" applyNumberFormat="1" applyFont="1" applyFill="1" applyBorder="1" applyAlignment="1">
      <alignment horizontal="center" wrapText="1"/>
    </xf>
    <xf numFmtId="37" fontId="15" fillId="0" borderId="2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wrapText="1"/>
    </xf>
    <xf numFmtId="37" fontId="39" fillId="3" borderId="9" xfId="35" applyNumberFormat="1" applyFont="1" applyFill="1" applyBorder="1" applyAlignment="1">
      <alignment horizontal="center" vertical="center" wrapText="1"/>
    </xf>
    <xf numFmtId="37" fontId="39" fillId="0" borderId="4" xfId="36" quotePrefix="1" applyNumberFormat="1" applyFont="1" applyFill="1" applyBorder="1" applyAlignment="1">
      <alignment horizontal="center" vertical="center"/>
    </xf>
    <xf numFmtId="5" fontId="8" fillId="0" borderId="15" xfId="33" applyNumberFormat="1" applyFont="1" applyFill="1" applyBorder="1"/>
    <xf numFmtId="0" fontId="27" fillId="0" borderId="10" xfId="14" quotePrefix="1" applyFont="1" applyFill="1" applyBorder="1" applyAlignment="1">
      <alignment horizontal="centerContinuous"/>
    </xf>
    <xf numFmtId="0" fontId="27" fillId="0" borderId="43" xfId="14" quotePrefix="1" applyFont="1" applyFill="1" applyBorder="1" applyAlignment="1">
      <alignment horizontal="centerContinuous"/>
    </xf>
    <xf numFmtId="37" fontId="7" fillId="0" borderId="0" xfId="0" applyNumberFormat="1" applyFont="1" applyFill="1" applyBorder="1" applyAlignment="1">
      <alignment vertical="center"/>
    </xf>
    <xf numFmtId="37" fontId="7" fillId="0" borderId="1" xfId="0" applyNumberFormat="1" applyFont="1" applyFill="1" applyBorder="1" applyAlignment="1">
      <alignment vertical="center"/>
    </xf>
    <xf numFmtId="37" fontId="7" fillId="0" borderId="0" xfId="0" applyNumberFormat="1" applyFont="1" applyFill="1" applyAlignment="1">
      <alignment vertical="center"/>
    </xf>
    <xf numFmtId="10" fontId="7" fillId="0" borderId="0" xfId="0" applyNumberFormat="1" applyFont="1" applyFill="1"/>
    <xf numFmtId="164" fontId="7" fillId="0" borderId="0" xfId="23" applyNumberFormat="1" applyFont="1" applyFill="1"/>
    <xf numFmtId="0" fontId="7" fillId="0" borderId="30" xfId="33" applyFont="1" applyFill="1" applyBorder="1"/>
    <xf numFmtId="37" fontId="7" fillId="0" borderId="0" xfId="0" applyNumberFormat="1" applyFont="1" applyFill="1" applyAlignment="1">
      <alignment horizontal="right"/>
    </xf>
    <xf numFmtId="37" fontId="68" fillId="0" borderId="0" xfId="0" applyNumberFormat="1" applyFont="1" applyFill="1" applyAlignment="1">
      <alignment horizontal="right"/>
    </xf>
    <xf numFmtId="37" fontId="69" fillId="0" borderId="0" xfId="0" applyNumberFormat="1" applyFont="1" applyFill="1" applyAlignment="1">
      <alignment horizontal="left"/>
    </xf>
    <xf numFmtId="37" fontId="7" fillId="0" borderId="1" xfId="0" applyNumberFormat="1" applyFont="1" applyFill="1" applyBorder="1" applyAlignment="1">
      <alignment horizontal="center" wrapText="1"/>
    </xf>
    <xf numFmtId="0" fontId="27" fillId="0" borderId="12" xfId="14" applyFont="1" applyFill="1" applyBorder="1" applyAlignment="1">
      <alignment horizontal="centerContinuous" wrapText="1"/>
    </xf>
    <xf numFmtId="0" fontId="27" fillId="0" borderId="1" xfId="14" applyFont="1" applyFill="1" applyBorder="1" applyAlignment="1">
      <alignment horizontal="centerContinuous"/>
    </xf>
    <xf numFmtId="37" fontId="15" fillId="0" borderId="36" xfId="0" applyNumberFormat="1" applyFont="1" applyFill="1" applyBorder="1" applyAlignment="1">
      <alignment horizontal="center" vertical="center"/>
    </xf>
    <xf numFmtId="37" fontId="15" fillId="0" borderId="8" xfId="0" quotePrefix="1" applyNumberFormat="1" applyFont="1" applyFill="1" applyBorder="1" applyAlignment="1">
      <alignment horizontal="center" vertical="center"/>
    </xf>
    <xf numFmtId="37" fontId="15" fillId="0" borderId="2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 vertical="center"/>
    </xf>
    <xf numFmtId="37" fontId="67" fillId="0" borderId="8" xfId="0" applyNumberFormat="1" applyFont="1" applyFill="1" applyBorder="1" applyAlignment="1">
      <alignment horizontal="center"/>
    </xf>
    <xf numFmtId="37" fontId="27" fillId="0" borderId="0" xfId="18" applyNumberFormat="1" applyFont="1" applyFill="1" applyAlignment="1">
      <alignment horizontal="left" vertical="top" wrapText="1"/>
    </xf>
    <xf numFmtId="37" fontId="58" fillId="0" borderId="0" xfId="0" applyNumberFormat="1" applyFont="1" applyFill="1" applyAlignment="1">
      <alignment horizontal="left" vertical="top" wrapText="1"/>
    </xf>
    <xf numFmtId="37" fontId="16" fillId="0" borderId="0" xfId="0" applyNumberFormat="1" applyFont="1" applyFill="1" applyBorder="1" applyAlignment="1">
      <alignment horizontal="center" wrapText="1"/>
    </xf>
    <xf numFmtId="37" fontId="53" fillId="0" borderId="0" xfId="0" applyNumberFormat="1" applyFont="1" applyFill="1" applyAlignment="1">
      <alignment horizontal="left" vertical="top" wrapText="1"/>
    </xf>
    <xf numFmtId="0" fontId="53" fillId="0" borderId="0" xfId="0" applyNumberFormat="1" applyFont="1" applyAlignment="1">
      <alignment horizontal="left" vertical="top" wrapText="1"/>
    </xf>
    <xf numFmtId="37" fontId="11" fillId="3" borderId="0" xfId="14" applyNumberFormat="1" applyFont="1" applyFill="1" applyBorder="1" applyAlignment="1">
      <alignment horizontal="center" vertical="center" wrapText="1"/>
    </xf>
    <xf numFmtId="37" fontId="16" fillId="3" borderId="0" xfId="0" applyNumberFormat="1" applyFont="1" applyFill="1" applyBorder="1" applyAlignment="1">
      <alignment horizontal="center" wrapText="1"/>
    </xf>
    <xf numFmtId="37" fontId="9" fillId="0" borderId="1" xfId="0" applyNumberFormat="1" applyFont="1" applyFill="1" applyBorder="1" applyAlignment="1">
      <alignment horizontal="center"/>
    </xf>
    <xf numFmtId="37" fontId="32" fillId="0" borderId="1" xfId="35" applyNumberFormat="1" applyFont="1" applyFill="1" applyBorder="1" applyAlignment="1">
      <alignment horizontal="center"/>
    </xf>
    <xf numFmtId="0" fontId="15" fillId="0" borderId="28" xfId="33" applyFont="1" applyFill="1" applyBorder="1" applyAlignment="1">
      <alignment horizontal="center"/>
    </xf>
    <xf numFmtId="0" fontId="15" fillId="0" borderId="27" xfId="33" applyFont="1" applyFill="1" applyBorder="1" applyAlignment="1">
      <alignment horizontal="center"/>
    </xf>
    <xf numFmtId="0" fontId="15" fillId="0" borderId="29" xfId="33" applyFont="1" applyFill="1" applyBorder="1" applyAlignment="1">
      <alignment horizontal="center"/>
    </xf>
    <xf numFmtId="0" fontId="9" fillId="0" borderId="28" xfId="33" applyFont="1" applyFill="1" applyBorder="1" applyAlignment="1">
      <alignment horizontal="center"/>
    </xf>
    <xf numFmtId="0" fontId="9" fillId="0" borderId="27" xfId="33" applyFont="1" applyFill="1" applyBorder="1" applyAlignment="1">
      <alignment horizontal="center"/>
    </xf>
    <xf numFmtId="0" fontId="15" fillId="0" borderId="19" xfId="33" applyFont="1" applyFill="1" applyBorder="1" applyAlignment="1">
      <alignment horizontal="center"/>
    </xf>
    <xf numFmtId="0" fontId="15" fillId="0" borderId="37" xfId="33" applyFont="1" applyFill="1" applyBorder="1" applyAlignment="1">
      <alignment horizontal="center"/>
    </xf>
    <xf numFmtId="0" fontId="15" fillId="0" borderId="40" xfId="33" applyFont="1" applyFill="1" applyBorder="1" applyAlignment="1">
      <alignment horizontal="center"/>
    </xf>
    <xf numFmtId="0" fontId="32" fillId="0" borderId="34" xfId="14" quotePrefix="1" applyFont="1" applyFill="1" applyBorder="1" applyAlignment="1">
      <alignment horizontal="center" wrapText="1"/>
    </xf>
    <xf numFmtId="0" fontId="32" fillId="0" borderId="2" xfId="14" quotePrefix="1" applyFont="1" applyFill="1" applyBorder="1" applyAlignment="1">
      <alignment horizontal="center" wrapText="1"/>
    </xf>
    <xf numFmtId="0" fontId="32" fillId="0" borderId="39" xfId="14" quotePrefix="1" applyFont="1" applyFill="1" applyBorder="1" applyAlignment="1">
      <alignment horizontal="center" wrapText="1"/>
    </xf>
    <xf numFmtId="0" fontId="27" fillId="0" borderId="12" xfId="14" applyFont="1" applyFill="1" applyBorder="1" applyAlignment="1">
      <alignment horizontal="center" wrapText="1"/>
    </xf>
    <xf numFmtId="0" fontId="27" fillId="0" borderId="13" xfId="14" applyFont="1" applyFill="1" applyBorder="1" applyAlignment="1">
      <alignment horizontal="center" wrapText="1"/>
    </xf>
    <xf numFmtId="0" fontId="27" fillId="0" borderId="14" xfId="14" applyFont="1" applyFill="1" applyBorder="1" applyAlignment="1">
      <alignment horizontal="center" wrapText="1"/>
    </xf>
    <xf numFmtId="0" fontId="27" fillId="0" borderId="15" xfId="14" applyFont="1" applyFill="1" applyBorder="1" applyAlignment="1">
      <alignment horizontal="center" wrapText="1"/>
    </xf>
    <xf numFmtId="0" fontId="32" fillId="0" borderId="12" xfId="14" applyFont="1" applyFill="1" applyBorder="1" applyAlignment="1">
      <alignment horizontal="center" wrapText="1"/>
    </xf>
    <xf numFmtId="0" fontId="32" fillId="0" borderId="1" xfId="14" applyFont="1" applyFill="1" applyBorder="1" applyAlignment="1">
      <alignment horizontal="center" wrapText="1"/>
    </xf>
    <xf numFmtId="0" fontId="32" fillId="0" borderId="13" xfId="14" applyFont="1" applyFill="1" applyBorder="1" applyAlignment="1">
      <alignment horizontal="center" wrapText="1"/>
    </xf>
    <xf numFmtId="0" fontId="28" fillId="0" borderId="12" xfId="14" quotePrefix="1" applyFont="1" applyFill="1" applyBorder="1" applyAlignment="1">
      <alignment horizontal="center" wrapText="1"/>
    </xf>
    <xf numFmtId="0" fontId="28" fillId="0" borderId="13" xfId="14" quotePrefix="1" applyFont="1" applyFill="1" applyBorder="1" applyAlignment="1">
      <alignment horizontal="center" wrapText="1"/>
    </xf>
  </cellXfs>
  <cellStyles count="43">
    <cellStyle name="Comma" xfId="34" builtinId="3"/>
    <cellStyle name="Comma 2" xfId="1"/>
    <cellStyle name="Comma 2 2" xfId="29"/>
    <cellStyle name="Comma 3" xfId="2"/>
    <cellStyle name="Comma 4" xfId="3"/>
    <cellStyle name="Comma 4 2" xfId="4"/>
    <cellStyle name="Comma 5" xfId="5"/>
    <cellStyle name="Comma 6" xfId="6"/>
    <cellStyle name="Comma 6 2" xfId="28"/>
    <cellStyle name="Comma 7" xfId="7"/>
    <cellStyle name="Comma 7 2" xfId="8"/>
    <cellStyle name="Comma 7 3" xfId="36"/>
    <cellStyle name="Comma 7 4" xfId="38"/>
    <cellStyle name="Comma 8" xfId="39"/>
    <cellStyle name="Currency 2" xfId="9"/>
    <cellStyle name="Currency 2 2" xfId="10"/>
    <cellStyle name="Currency 3" xfId="11"/>
    <cellStyle name="Currency 3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5 2 2" xfId="30"/>
    <cellStyle name="Normal 5 2 3" xfId="31"/>
    <cellStyle name="Normal 5 2 4" xfId="32"/>
    <cellStyle name="Normal 5 2 5" xfId="33"/>
    <cellStyle name="Normal 5 3" xfId="35"/>
    <cellStyle name="Normal 5 4" xfId="40"/>
    <cellStyle name="Normal 5 5" xfId="41"/>
    <cellStyle name="Normal 5 6" xfId="37"/>
    <cellStyle name="Normal 6" xfId="20"/>
    <cellStyle name="Normal 7" xfId="21"/>
    <cellStyle name="Normal 7 2" xfId="22"/>
    <cellStyle name="Normal 8" xfId="26"/>
    <cellStyle name="Normal 8 2" xfId="27"/>
    <cellStyle name="Normal 9" xfId="42"/>
    <cellStyle name="Percent" xfId="23" builtinId="5"/>
    <cellStyle name="Percent 2" xfId="24"/>
    <cellStyle name="Percent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defaultColWidth="9.33203125" defaultRowHeight="13.2" x14ac:dyDescent="0.25"/>
  <cols>
    <col min="1" max="1" width="2.33203125" style="75" customWidth="1"/>
    <col min="2" max="2" width="26.77734375" style="75" customWidth="1"/>
    <col min="3" max="3" width="14.77734375" style="75" customWidth="1"/>
    <col min="4" max="4" width="1.77734375" style="75" customWidth="1"/>
    <col min="5" max="5" width="14.77734375" style="75" customWidth="1"/>
    <col min="6" max="6" width="13.33203125" style="75" customWidth="1"/>
    <col min="7" max="7" width="14.77734375" style="75" customWidth="1"/>
    <col min="8" max="8" width="3.77734375" style="216" customWidth="1"/>
    <col min="9" max="9" width="1.77734375" style="216" customWidth="1"/>
    <col min="10" max="10" width="14.77734375" style="75" customWidth="1"/>
    <col min="11" max="11" width="1.77734375" style="75" customWidth="1"/>
    <col min="12" max="12" width="14.77734375" style="75" customWidth="1"/>
    <col min="13" max="14" width="1.77734375" style="75" customWidth="1"/>
    <col min="15" max="15" width="14.77734375" style="75" customWidth="1"/>
    <col min="16" max="16" width="1.77734375" style="75" customWidth="1"/>
    <col min="17" max="17" width="3.77734375" style="216" customWidth="1"/>
    <col min="18" max="19" width="14.77734375" style="75" customWidth="1"/>
    <col min="20" max="20" width="13" style="75" bestFit="1" customWidth="1"/>
    <col min="21" max="21" width="14.77734375" style="75" customWidth="1"/>
    <col min="22" max="22" width="15" style="75" bestFit="1" customWidth="1"/>
    <col min="23" max="23" width="14" style="75" bestFit="1" customWidth="1"/>
    <col min="24" max="24" width="9.33203125" style="75"/>
    <col min="25" max="25" width="14.77734375" style="75" customWidth="1"/>
    <col min="26" max="16384" width="9.33203125" style="75"/>
  </cols>
  <sheetData>
    <row r="1" spans="2:25" ht="18" customHeight="1" x14ac:dyDescent="0.35">
      <c r="B1" s="19" t="s">
        <v>71</v>
      </c>
      <c r="S1" s="20" t="s">
        <v>178</v>
      </c>
    </row>
    <row r="2" spans="2:25" ht="15.6" x14ac:dyDescent="0.3">
      <c r="B2" s="21"/>
    </row>
    <row r="3" spans="2:25" s="407" customFormat="1" ht="14.4" thickBot="1" x14ac:dyDescent="0.3">
      <c r="B3" s="12"/>
      <c r="C3" s="2">
        <v>-1</v>
      </c>
      <c r="D3" s="2"/>
      <c r="E3" s="2">
        <v>-2</v>
      </c>
      <c r="F3" s="2">
        <v>-3</v>
      </c>
      <c r="G3" s="2">
        <v>-4</v>
      </c>
      <c r="H3" s="405"/>
      <c r="I3" s="406"/>
      <c r="J3" s="2">
        <v>-5</v>
      </c>
      <c r="K3" s="2"/>
      <c r="L3" s="160" t="s">
        <v>88</v>
      </c>
      <c r="M3" s="2"/>
      <c r="N3" s="2"/>
      <c r="O3" s="160" t="s">
        <v>93</v>
      </c>
      <c r="P3" s="2"/>
      <c r="Q3" s="3"/>
      <c r="R3" s="2">
        <v>-8</v>
      </c>
      <c r="S3" s="2">
        <v>-9</v>
      </c>
      <c r="T3" s="2">
        <v>-10</v>
      </c>
      <c r="U3" s="2">
        <v>-11</v>
      </c>
    </row>
    <row r="4" spans="2:25" s="274" customFormat="1" ht="13.8" x14ac:dyDescent="0.25">
      <c r="C4" s="417" t="s">
        <v>73</v>
      </c>
      <c r="D4" s="417"/>
      <c r="E4" s="417"/>
      <c r="F4" s="417"/>
      <c r="G4" s="417"/>
      <c r="H4" s="275"/>
      <c r="I4" s="418" t="s">
        <v>75</v>
      </c>
      <c r="J4" s="418"/>
      <c r="K4" s="418"/>
      <c r="L4" s="418"/>
      <c r="M4" s="418"/>
      <c r="N4" s="418"/>
      <c r="O4" s="418"/>
      <c r="P4" s="418"/>
      <c r="Q4" s="275"/>
      <c r="R4" s="420" t="s">
        <v>74</v>
      </c>
      <c r="S4" s="420"/>
      <c r="T4" s="420"/>
      <c r="U4" s="420"/>
    </row>
    <row r="5" spans="2:25" s="274" customFormat="1" ht="13.8" x14ac:dyDescent="0.25">
      <c r="C5" s="398"/>
      <c r="D5" s="398"/>
      <c r="E5" s="398"/>
      <c r="F5" s="398"/>
      <c r="G5" s="398"/>
      <c r="H5" s="275"/>
      <c r="I5" s="275"/>
      <c r="J5" s="419" t="s">
        <v>62</v>
      </c>
      <c r="K5" s="419"/>
      <c r="L5" s="419"/>
      <c r="M5" s="419"/>
      <c r="N5" s="276"/>
      <c r="O5" s="397" t="s">
        <v>64</v>
      </c>
      <c r="P5" s="277"/>
      <c r="Q5" s="275"/>
      <c r="R5" s="398"/>
      <c r="S5" s="398"/>
      <c r="T5" s="398"/>
    </row>
    <row r="6" spans="2:25" s="261" customFormat="1" ht="53.4" thickBot="1" x14ac:dyDescent="0.3">
      <c r="B6" s="273"/>
      <c r="C6" s="273" t="s">
        <v>187</v>
      </c>
      <c r="D6" s="273"/>
      <c r="E6" s="414" t="s">
        <v>67</v>
      </c>
      <c r="F6" s="273" t="s">
        <v>142</v>
      </c>
      <c r="G6" s="273" t="s">
        <v>120</v>
      </c>
      <c r="H6" s="399"/>
      <c r="I6" s="399"/>
      <c r="J6" s="273" t="s">
        <v>63</v>
      </c>
      <c r="K6" s="273"/>
      <c r="L6" s="273" t="s">
        <v>155</v>
      </c>
      <c r="M6" s="273"/>
      <c r="N6" s="273"/>
      <c r="O6" s="414" t="s">
        <v>76</v>
      </c>
      <c r="P6" s="273"/>
      <c r="Q6" s="399"/>
      <c r="R6" s="273" t="s">
        <v>143</v>
      </c>
      <c r="S6" s="273" t="s">
        <v>68</v>
      </c>
      <c r="T6" s="414" t="s">
        <v>34</v>
      </c>
      <c r="U6" s="273" t="s">
        <v>137</v>
      </c>
    </row>
    <row r="7" spans="2:25" s="4" customFormat="1" ht="10.199999999999999" x14ac:dyDescent="0.25">
      <c r="B7" s="5"/>
      <c r="C7" s="5"/>
      <c r="D7" s="5"/>
      <c r="E7" s="5"/>
      <c r="F7" s="5"/>
      <c r="G7" s="4" t="s">
        <v>33</v>
      </c>
      <c r="H7" s="5"/>
      <c r="I7" s="5"/>
      <c r="J7" s="4" t="s">
        <v>156</v>
      </c>
      <c r="L7" s="202" t="s">
        <v>177</v>
      </c>
      <c r="O7" s="4" t="s">
        <v>126</v>
      </c>
      <c r="Q7" s="5"/>
      <c r="R7" s="5" t="s">
        <v>127</v>
      </c>
      <c r="S7" s="5" t="s">
        <v>128</v>
      </c>
      <c r="T7" s="161" t="s">
        <v>66</v>
      </c>
      <c r="U7" s="5" t="s">
        <v>138</v>
      </c>
    </row>
    <row r="8" spans="2:25" ht="9" customHeight="1" x14ac:dyDescent="0.25"/>
    <row r="9" spans="2:25" s="73" customFormat="1" x14ac:dyDescent="0.25">
      <c r="B9" s="212" t="s">
        <v>0</v>
      </c>
      <c r="C9" s="212">
        <v>48741489</v>
      </c>
      <c r="D9" s="212"/>
      <c r="E9" s="72">
        <v>39960033</v>
      </c>
      <c r="F9" s="73">
        <v>3319971</v>
      </c>
      <c r="G9" s="73">
        <f>SUM(C9:F9)</f>
        <v>92021493</v>
      </c>
      <c r="H9" s="212"/>
      <c r="I9" s="212"/>
      <c r="J9" s="73">
        <f>'(B) Base Bud Adj'!R8</f>
        <v>-2364980</v>
      </c>
      <c r="L9" s="73">
        <f>'(C) 12-13 Expenditure Adjust.'!X8</f>
        <v>-3216700</v>
      </c>
      <c r="O9" s="73">
        <f>'(D) Tuition Revenue'!S8</f>
        <v>3570000</v>
      </c>
      <c r="Q9" s="212"/>
      <c r="R9" s="73">
        <f t="shared" ref="R9:R31" si="0">C9+J9+L9</f>
        <v>43159809</v>
      </c>
      <c r="S9" s="73">
        <f t="shared" ref="S9:S31" si="1">E9+O9</f>
        <v>43530033</v>
      </c>
      <c r="T9" s="73">
        <f t="shared" ref="T9:T31" si="2">F9</f>
        <v>3319971</v>
      </c>
      <c r="U9" s="73">
        <f>SUM(R9:T9)</f>
        <v>90009813</v>
      </c>
      <c r="X9" s="408"/>
    </row>
    <row r="10" spans="2:25" x14ac:dyDescent="0.25">
      <c r="B10" s="216" t="s">
        <v>1</v>
      </c>
      <c r="C10" s="216">
        <v>44118320</v>
      </c>
      <c r="D10" s="216"/>
      <c r="E10" s="74">
        <v>19499000</v>
      </c>
      <c r="F10" s="75">
        <v>1449190</v>
      </c>
      <c r="G10" s="75">
        <f>SUM(C10:F10)</f>
        <v>65066510</v>
      </c>
      <c r="J10" s="75">
        <f>'(B) Base Bud Adj'!R9</f>
        <v>-217510</v>
      </c>
      <c r="L10" s="75">
        <f>'(C) 12-13 Expenditure Adjust.'!X9</f>
        <v>-3357100</v>
      </c>
      <c r="O10" s="75">
        <f>'(D) Tuition Revenue'!S9</f>
        <v>1863000</v>
      </c>
      <c r="R10" s="75">
        <f t="shared" si="0"/>
        <v>40543710</v>
      </c>
      <c r="S10" s="75">
        <f t="shared" si="1"/>
        <v>21362000</v>
      </c>
      <c r="T10" s="75">
        <f t="shared" si="2"/>
        <v>1449190</v>
      </c>
      <c r="U10" s="75">
        <f>SUM(R10:T10)</f>
        <v>63354900</v>
      </c>
      <c r="X10" s="408"/>
      <c r="Y10" s="73"/>
    </row>
    <row r="11" spans="2:25" x14ac:dyDescent="0.25">
      <c r="B11" s="216" t="s">
        <v>2</v>
      </c>
      <c r="C11" s="216">
        <v>81330222</v>
      </c>
      <c r="D11" s="216"/>
      <c r="E11" s="74">
        <v>81524000</v>
      </c>
      <c r="F11" s="75">
        <v>10366000</v>
      </c>
      <c r="G11" s="75">
        <f t="shared" ref="G11:G31" si="3">SUM(C11:F11)</f>
        <v>173220222</v>
      </c>
      <c r="J11" s="75">
        <f>'(B) Base Bud Adj'!R10</f>
        <v>-4661590</v>
      </c>
      <c r="L11" s="75">
        <f>'(C) 12-13 Expenditure Adjust.'!X10</f>
        <v>-8471000</v>
      </c>
      <c r="O11" s="75">
        <f>'(D) Tuition Revenue'!S10</f>
        <v>7432000</v>
      </c>
      <c r="R11" s="75">
        <f t="shared" si="0"/>
        <v>68197632</v>
      </c>
      <c r="S11" s="75">
        <f t="shared" si="1"/>
        <v>88956000</v>
      </c>
      <c r="T11" s="75">
        <f t="shared" si="2"/>
        <v>10366000</v>
      </c>
      <c r="U11" s="75">
        <f t="shared" ref="U11:U31" si="4">SUM(R11:T11)</f>
        <v>167519632</v>
      </c>
      <c r="X11" s="408"/>
      <c r="Y11" s="73"/>
    </row>
    <row r="12" spans="2:25" x14ac:dyDescent="0.25">
      <c r="B12" s="216" t="s">
        <v>3</v>
      </c>
      <c r="C12" s="216">
        <v>59766882</v>
      </c>
      <c r="D12" s="216"/>
      <c r="E12" s="74">
        <v>60718122</v>
      </c>
      <c r="F12" s="75">
        <v>3559620</v>
      </c>
      <c r="G12" s="75">
        <f t="shared" si="3"/>
        <v>124044624</v>
      </c>
      <c r="J12" s="75">
        <f>'(B) Base Bud Adj'!R11</f>
        <v>-3047030</v>
      </c>
      <c r="L12" s="75">
        <f>'(C) 12-13 Expenditure Adjust.'!X11</f>
        <v>-5032800</v>
      </c>
      <c r="O12" s="75">
        <f>'(D) Tuition Revenue'!S11</f>
        <v>4941000</v>
      </c>
      <c r="R12" s="75">
        <f t="shared" si="0"/>
        <v>51687052</v>
      </c>
      <c r="S12" s="75">
        <f t="shared" si="1"/>
        <v>65659122</v>
      </c>
      <c r="T12" s="75">
        <f t="shared" si="2"/>
        <v>3559620</v>
      </c>
      <c r="U12" s="75">
        <f t="shared" si="4"/>
        <v>120905794</v>
      </c>
      <c r="X12" s="408"/>
      <c r="Y12" s="73"/>
    </row>
    <row r="13" spans="2:25" x14ac:dyDescent="0.25">
      <c r="B13" s="216" t="s">
        <v>28</v>
      </c>
      <c r="C13" s="216">
        <v>64021941</v>
      </c>
      <c r="D13" s="216"/>
      <c r="E13" s="74">
        <v>76533000</v>
      </c>
      <c r="F13" s="75">
        <v>16723000</v>
      </c>
      <c r="G13" s="75">
        <f t="shared" si="3"/>
        <v>157277941</v>
      </c>
      <c r="J13" s="75">
        <f>'(B) Base Bud Adj'!R12</f>
        <v>-4287980</v>
      </c>
      <c r="L13" s="75">
        <f>'(C) 12-13 Expenditure Adjust.'!X12</f>
        <v>-8185400</v>
      </c>
      <c r="O13" s="75">
        <f>'(D) Tuition Revenue'!S12</f>
        <v>5615000</v>
      </c>
      <c r="R13" s="75">
        <f t="shared" si="0"/>
        <v>51548561</v>
      </c>
      <c r="S13" s="75">
        <f t="shared" si="1"/>
        <v>82148000</v>
      </c>
      <c r="T13" s="75">
        <f t="shared" si="2"/>
        <v>16723000</v>
      </c>
      <c r="U13" s="75">
        <f t="shared" si="4"/>
        <v>150419561</v>
      </c>
      <c r="X13" s="408"/>
      <c r="Y13" s="73"/>
    </row>
    <row r="14" spans="2:25" x14ac:dyDescent="0.25">
      <c r="B14" s="216" t="s">
        <v>4</v>
      </c>
      <c r="C14" s="216">
        <v>105923822</v>
      </c>
      <c r="D14" s="216"/>
      <c r="E14" s="74">
        <v>106228316</v>
      </c>
      <c r="F14" s="75">
        <v>12075068</v>
      </c>
      <c r="G14" s="75">
        <f t="shared" si="3"/>
        <v>224227206</v>
      </c>
      <c r="J14" s="75">
        <f>'(B) Base Bud Adj'!R13</f>
        <v>-5816390</v>
      </c>
      <c r="L14" s="75">
        <f>'(C) 12-13 Expenditure Adjust.'!X13</f>
        <v>-9311000</v>
      </c>
      <c r="O14" s="75">
        <f>'(D) Tuition Revenue'!S13</f>
        <v>9173000</v>
      </c>
      <c r="R14" s="75">
        <f t="shared" si="0"/>
        <v>90796432</v>
      </c>
      <c r="S14" s="75">
        <f t="shared" si="1"/>
        <v>115401316</v>
      </c>
      <c r="T14" s="75">
        <f t="shared" si="2"/>
        <v>12075068</v>
      </c>
      <c r="U14" s="75">
        <f t="shared" si="4"/>
        <v>218272816</v>
      </c>
      <c r="X14" s="408"/>
      <c r="Y14" s="73"/>
    </row>
    <row r="15" spans="2:25" x14ac:dyDescent="0.25">
      <c r="B15" s="216" t="s">
        <v>5</v>
      </c>
      <c r="C15" s="216">
        <v>116085961</v>
      </c>
      <c r="D15" s="216"/>
      <c r="E15" s="74">
        <v>182144148</v>
      </c>
      <c r="F15" s="75">
        <v>22937849</v>
      </c>
      <c r="G15" s="75">
        <f t="shared" si="3"/>
        <v>321167958</v>
      </c>
      <c r="J15" s="75">
        <f>'(B) Base Bud Adj'!R14</f>
        <v>-8478400</v>
      </c>
      <c r="L15" s="75">
        <f>'(C) 12-13 Expenditure Adjust.'!X14</f>
        <v>-14989000</v>
      </c>
      <c r="O15" s="75">
        <f>'(D) Tuition Revenue'!S14</f>
        <v>14800000</v>
      </c>
      <c r="R15" s="75">
        <f t="shared" si="0"/>
        <v>92618561</v>
      </c>
      <c r="S15" s="75">
        <f t="shared" si="1"/>
        <v>196944148</v>
      </c>
      <c r="T15" s="75">
        <f t="shared" si="2"/>
        <v>22937849</v>
      </c>
      <c r="U15" s="75">
        <f t="shared" si="4"/>
        <v>312500558</v>
      </c>
      <c r="X15" s="408"/>
      <c r="Y15" s="73"/>
    </row>
    <row r="16" spans="2:25" x14ac:dyDescent="0.25">
      <c r="B16" s="216" t="s">
        <v>6</v>
      </c>
      <c r="C16" s="216">
        <v>59408350</v>
      </c>
      <c r="D16" s="216"/>
      <c r="E16" s="74">
        <v>41674528</v>
      </c>
      <c r="F16" s="75">
        <v>8212463</v>
      </c>
      <c r="G16" s="75">
        <f t="shared" si="3"/>
        <v>109295341</v>
      </c>
      <c r="J16" s="75">
        <f>'(B) Base Bud Adj'!R15</f>
        <v>-2851740</v>
      </c>
      <c r="L16" s="75">
        <f>'(C) 12-13 Expenditure Adjust.'!X15</f>
        <v>-5803300</v>
      </c>
      <c r="O16" s="75">
        <f>'(D) Tuition Revenue'!S15</f>
        <v>3899000</v>
      </c>
      <c r="R16" s="75">
        <f t="shared" si="0"/>
        <v>50753310</v>
      </c>
      <c r="S16" s="75">
        <f t="shared" si="1"/>
        <v>45573528</v>
      </c>
      <c r="T16" s="75">
        <f t="shared" si="2"/>
        <v>8212463</v>
      </c>
      <c r="U16" s="75">
        <f t="shared" si="4"/>
        <v>104539301</v>
      </c>
      <c r="X16" s="408"/>
      <c r="Y16" s="73"/>
    </row>
    <row r="17" spans="2:25" x14ac:dyDescent="0.25">
      <c r="B17" s="216" t="s">
        <v>7</v>
      </c>
      <c r="C17" s="216">
        <v>131395036.16</v>
      </c>
      <c r="D17" s="216"/>
      <c r="E17" s="74">
        <v>177063000</v>
      </c>
      <c r="F17" s="75">
        <v>29391500</v>
      </c>
      <c r="G17" s="75">
        <f t="shared" si="3"/>
        <v>337849536.15999997</v>
      </c>
      <c r="J17" s="75">
        <f>'(B) Base Bud Adj'!R16</f>
        <v>-8852900</v>
      </c>
      <c r="L17" s="75">
        <f>'(C) 12-13 Expenditure Adjust.'!X16</f>
        <v>-16485700</v>
      </c>
      <c r="O17" s="75">
        <f>'(D) Tuition Revenue'!S16</f>
        <v>15345000</v>
      </c>
      <c r="R17" s="75">
        <f t="shared" si="0"/>
        <v>106056436.16</v>
      </c>
      <c r="S17" s="75">
        <f t="shared" si="1"/>
        <v>192408000</v>
      </c>
      <c r="T17" s="75">
        <f t="shared" si="2"/>
        <v>29391500</v>
      </c>
      <c r="U17" s="75">
        <f t="shared" si="4"/>
        <v>327855936.15999997</v>
      </c>
      <c r="X17" s="408"/>
      <c r="Y17" s="73"/>
    </row>
    <row r="18" spans="2:25" x14ac:dyDescent="0.25">
      <c r="B18" s="216" t="s">
        <v>8</v>
      </c>
      <c r="C18" s="216">
        <v>96874129</v>
      </c>
      <c r="D18" s="216"/>
      <c r="E18" s="74">
        <v>105940658</v>
      </c>
      <c r="F18" s="75">
        <v>14078102</v>
      </c>
      <c r="G18" s="75">
        <f t="shared" si="3"/>
        <v>216892889</v>
      </c>
      <c r="J18" s="75">
        <f>'(B) Base Bud Adj'!R17</f>
        <v>-5454490</v>
      </c>
      <c r="L18" s="75">
        <f>'(C) 12-13 Expenditure Adjust.'!X17</f>
        <v>-9187700</v>
      </c>
      <c r="O18" s="75">
        <f>'(D) Tuition Revenue'!S17</f>
        <v>8095000</v>
      </c>
      <c r="R18" s="75">
        <f t="shared" si="0"/>
        <v>82231939</v>
      </c>
      <c r="S18" s="75">
        <f t="shared" si="1"/>
        <v>114035658</v>
      </c>
      <c r="T18" s="75">
        <f t="shared" si="2"/>
        <v>14078102</v>
      </c>
      <c r="U18" s="75">
        <f t="shared" si="4"/>
        <v>210345699</v>
      </c>
      <c r="X18" s="408"/>
      <c r="Y18" s="73"/>
    </row>
    <row r="19" spans="2:25" x14ac:dyDescent="0.25">
      <c r="B19" s="216" t="s">
        <v>9</v>
      </c>
      <c r="C19" s="216">
        <v>21107751</v>
      </c>
      <c r="D19" s="216"/>
      <c r="E19" s="74">
        <v>4793159</v>
      </c>
      <c r="F19" s="75">
        <v>1710823</v>
      </c>
      <c r="G19" s="75">
        <f t="shared" si="3"/>
        <v>27611733</v>
      </c>
      <c r="J19" s="75">
        <f>'(B) Base Bud Adj'!R18</f>
        <v>-81580</v>
      </c>
      <c r="L19" s="75">
        <f>'(C) 12-13 Expenditure Adjust.'!X18</f>
        <v>-1372400</v>
      </c>
      <c r="O19" s="75">
        <f>'(D) Tuition Revenue'!S18</f>
        <v>421000</v>
      </c>
      <c r="R19" s="75">
        <f t="shared" si="0"/>
        <v>19653771</v>
      </c>
      <c r="S19" s="75">
        <f t="shared" si="1"/>
        <v>5214159</v>
      </c>
      <c r="T19" s="75">
        <f t="shared" si="2"/>
        <v>1710823</v>
      </c>
      <c r="U19" s="75">
        <f t="shared" si="4"/>
        <v>26578753</v>
      </c>
      <c r="X19" s="408"/>
      <c r="Y19" s="73"/>
    </row>
    <row r="20" spans="2:25" x14ac:dyDescent="0.25">
      <c r="B20" s="216" t="s">
        <v>10</v>
      </c>
      <c r="C20" s="216">
        <v>51339423</v>
      </c>
      <c r="D20" s="216"/>
      <c r="E20" s="74">
        <v>24468271</v>
      </c>
      <c r="F20" s="75">
        <v>2062195</v>
      </c>
      <c r="G20" s="75">
        <f t="shared" si="3"/>
        <v>77869889</v>
      </c>
      <c r="J20" s="75">
        <f>'(B) Base Bud Adj'!R19</f>
        <v>-2093140</v>
      </c>
      <c r="L20" s="75">
        <f>'(C) 12-13 Expenditure Adjust.'!X19</f>
        <v>-3724700</v>
      </c>
      <c r="O20" s="75">
        <f>'(D) Tuition Revenue'!S19</f>
        <v>1514000</v>
      </c>
      <c r="R20" s="75">
        <f t="shared" si="0"/>
        <v>45521583</v>
      </c>
      <c r="S20" s="75">
        <f t="shared" si="1"/>
        <v>25982271</v>
      </c>
      <c r="T20" s="75">
        <f t="shared" si="2"/>
        <v>2062195</v>
      </c>
      <c r="U20" s="75">
        <f t="shared" si="4"/>
        <v>73566049</v>
      </c>
      <c r="X20" s="408"/>
      <c r="Y20" s="73"/>
    </row>
    <row r="21" spans="2:25" x14ac:dyDescent="0.25">
      <c r="B21" s="216" t="s">
        <v>11</v>
      </c>
      <c r="C21" s="216">
        <v>131345346</v>
      </c>
      <c r="D21" s="216"/>
      <c r="E21" s="74">
        <v>179465000</v>
      </c>
      <c r="F21" s="75">
        <v>30475784</v>
      </c>
      <c r="G21" s="75">
        <f t="shared" si="3"/>
        <v>341286130</v>
      </c>
      <c r="J21" s="75">
        <f>'(B) Base Bud Adj'!R20</f>
        <v>-8965450</v>
      </c>
      <c r="L21" s="75">
        <f>'(C) 12-13 Expenditure Adjust.'!X20</f>
        <v>-14875600</v>
      </c>
      <c r="O21" s="75">
        <f>'(D) Tuition Revenue'!S20</f>
        <v>15446000</v>
      </c>
      <c r="R21" s="75">
        <f t="shared" si="0"/>
        <v>107504296</v>
      </c>
      <c r="S21" s="75">
        <f t="shared" si="1"/>
        <v>194911000</v>
      </c>
      <c r="T21" s="75">
        <f t="shared" si="2"/>
        <v>30475784</v>
      </c>
      <c r="U21" s="75">
        <f t="shared" si="4"/>
        <v>332891080</v>
      </c>
      <c r="X21" s="408"/>
      <c r="Y21" s="73"/>
    </row>
    <row r="22" spans="2:25" x14ac:dyDescent="0.25">
      <c r="B22" s="216" t="s">
        <v>12</v>
      </c>
      <c r="C22" s="216">
        <v>96644062</v>
      </c>
      <c r="D22" s="216"/>
      <c r="E22" s="74">
        <v>101152000</v>
      </c>
      <c r="F22" s="75">
        <v>10787000</v>
      </c>
      <c r="G22" s="75">
        <f t="shared" si="3"/>
        <v>208583062</v>
      </c>
      <c r="J22" s="75">
        <f>'(B) Base Bud Adj'!R21</f>
        <v>-5660020</v>
      </c>
      <c r="L22" s="75">
        <f>'(C) 12-13 Expenditure Adjust.'!X21</f>
        <v>-10332200</v>
      </c>
      <c r="O22" s="75">
        <f>'(D) Tuition Revenue'!S21</f>
        <v>6035000</v>
      </c>
      <c r="R22" s="75">
        <f t="shared" si="0"/>
        <v>80651842</v>
      </c>
      <c r="S22" s="75">
        <f t="shared" si="1"/>
        <v>107187000</v>
      </c>
      <c r="T22" s="75">
        <f t="shared" si="2"/>
        <v>10787000</v>
      </c>
      <c r="U22" s="75">
        <f t="shared" si="4"/>
        <v>198625842</v>
      </c>
      <c r="X22" s="408"/>
      <c r="Y22" s="73"/>
    </row>
    <row r="23" spans="2:25" x14ac:dyDescent="0.25">
      <c r="B23" s="216" t="s">
        <v>13</v>
      </c>
      <c r="C23" s="216">
        <v>107426677</v>
      </c>
      <c r="D23" s="216"/>
      <c r="E23" s="74">
        <v>136490500</v>
      </c>
      <c r="F23" s="75">
        <v>15655349</v>
      </c>
      <c r="G23" s="75">
        <f t="shared" si="3"/>
        <v>259572526</v>
      </c>
      <c r="J23" s="75">
        <f>'(B) Base Bud Adj'!R22</f>
        <v>-6724240</v>
      </c>
      <c r="L23" s="75">
        <f>'(C) 12-13 Expenditure Adjust.'!X22</f>
        <v>-10773200</v>
      </c>
      <c r="O23" s="75">
        <f>'(D) Tuition Revenue'!S22</f>
        <v>14474000</v>
      </c>
      <c r="R23" s="75">
        <f t="shared" si="0"/>
        <v>89929237</v>
      </c>
      <c r="S23" s="75">
        <f t="shared" si="1"/>
        <v>150964500</v>
      </c>
      <c r="T23" s="75">
        <f t="shared" si="2"/>
        <v>15655349</v>
      </c>
      <c r="U23" s="75">
        <f t="shared" si="4"/>
        <v>256549086</v>
      </c>
      <c r="X23" s="408"/>
      <c r="Y23" s="73"/>
    </row>
    <row r="24" spans="2:25" ht="12.75" customHeight="1" x14ac:dyDescent="0.25">
      <c r="B24" s="216" t="s">
        <v>14</v>
      </c>
      <c r="C24" s="216">
        <v>75776878</v>
      </c>
      <c r="D24" s="216"/>
      <c r="E24" s="74">
        <v>88825000</v>
      </c>
      <c r="F24" s="75">
        <v>17593192</v>
      </c>
      <c r="G24" s="75">
        <f t="shared" si="3"/>
        <v>182195070</v>
      </c>
      <c r="J24" s="75">
        <f>'(B) Base Bud Adj'!R23</f>
        <v>-4363070</v>
      </c>
      <c r="L24" s="75">
        <f>'(C) 12-13 Expenditure Adjust.'!X23</f>
        <v>-8706700</v>
      </c>
      <c r="O24" s="75">
        <f>'(D) Tuition Revenue'!S23</f>
        <v>6658000</v>
      </c>
      <c r="R24" s="75">
        <f t="shared" si="0"/>
        <v>62707108</v>
      </c>
      <c r="S24" s="75">
        <f t="shared" si="1"/>
        <v>95483000</v>
      </c>
      <c r="T24" s="75">
        <f t="shared" si="2"/>
        <v>17593192</v>
      </c>
      <c r="U24" s="75">
        <f t="shared" si="4"/>
        <v>175783300</v>
      </c>
      <c r="X24" s="408"/>
      <c r="Y24" s="73"/>
    </row>
    <row r="25" spans="2:25" x14ac:dyDescent="0.25">
      <c r="B25" s="216" t="s">
        <v>15</v>
      </c>
      <c r="C25" s="216">
        <v>133941246</v>
      </c>
      <c r="D25" s="216"/>
      <c r="E25" s="74">
        <v>159073000</v>
      </c>
      <c r="F25" s="75">
        <v>34698627</v>
      </c>
      <c r="G25" s="75">
        <f t="shared" si="3"/>
        <v>327712873</v>
      </c>
      <c r="J25" s="75">
        <f>'(B) Base Bud Adj'!R24</f>
        <v>-8978250</v>
      </c>
      <c r="L25" s="75">
        <f>'(C) 12-13 Expenditure Adjust.'!X24</f>
        <v>-16180000</v>
      </c>
      <c r="O25" s="75">
        <f>'(D) Tuition Revenue'!S24</f>
        <v>14340000</v>
      </c>
      <c r="R25" s="75">
        <f t="shared" si="0"/>
        <v>108782996</v>
      </c>
      <c r="S25" s="75">
        <f t="shared" si="1"/>
        <v>173413000</v>
      </c>
      <c r="T25" s="75">
        <f t="shared" si="2"/>
        <v>34698627</v>
      </c>
      <c r="U25" s="75">
        <f t="shared" si="4"/>
        <v>316894623</v>
      </c>
      <c r="X25" s="408"/>
      <c r="Y25" s="73"/>
    </row>
    <row r="26" spans="2:25" x14ac:dyDescent="0.25">
      <c r="B26" s="216" t="s">
        <v>16</v>
      </c>
      <c r="C26" s="216">
        <v>111787439</v>
      </c>
      <c r="D26" s="216"/>
      <c r="E26" s="74">
        <v>149100000</v>
      </c>
      <c r="F26" s="75">
        <v>30303377</v>
      </c>
      <c r="G26" s="75">
        <f t="shared" si="3"/>
        <v>291190816</v>
      </c>
      <c r="J26" s="75">
        <f>'(B) Base Bud Adj'!R25</f>
        <v>-7756480</v>
      </c>
      <c r="L26" s="75">
        <f>'(C) 12-13 Expenditure Adjust.'!X25</f>
        <v>-12726000</v>
      </c>
      <c r="O26" s="75">
        <f>'(D) Tuition Revenue'!S25</f>
        <v>10496000</v>
      </c>
      <c r="R26" s="75">
        <f t="shared" si="0"/>
        <v>91304959</v>
      </c>
      <c r="S26" s="75">
        <f t="shared" si="1"/>
        <v>159596000</v>
      </c>
      <c r="T26" s="75">
        <f t="shared" si="2"/>
        <v>30303377</v>
      </c>
      <c r="U26" s="75">
        <f t="shared" si="4"/>
        <v>281204336</v>
      </c>
      <c r="X26" s="408"/>
      <c r="Y26" s="73"/>
    </row>
    <row r="27" spans="2:25" x14ac:dyDescent="0.25">
      <c r="B27" s="216" t="s">
        <v>17</v>
      </c>
      <c r="C27" s="216">
        <v>101113122</v>
      </c>
      <c r="D27" s="216"/>
      <c r="E27" s="74">
        <v>142479300</v>
      </c>
      <c r="F27" s="75">
        <v>24223800</v>
      </c>
      <c r="G27" s="75">
        <f t="shared" si="3"/>
        <v>267816222</v>
      </c>
      <c r="J27" s="75">
        <f>'(B) Base Bud Adj'!R26</f>
        <v>-7439140</v>
      </c>
      <c r="L27" s="75">
        <f>'(C) 12-13 Expenditure Adjust.'!X26</f>
        <v>-12421000</v>
      </c>
      <c r="O27" s="75">
        <f>'(D) Tuition Revenue'!S26</f>
        <v>9632000</v>
      </c>
      <c r="R27" s="75">
        <f t="shared" si="0"/>
        <v>81252982</v>
      </c>
      <c r="S27" s="75">
        <f t="shared" si="1"/>
        <v>152111300</v>
      </c>
      <c r="T27" s="75">
        <f t="shared" si="2"/>
        <v>24223800</v>
      </c>
      <c r="U27" s="75">
        <f t="shared" si="4"/>
        <v>257588082</v>
      </c>
      <c r="X27" s="408"/>
      <c r="Y27" s="73"/>
    </row>
    <row r="28" spans="2:25" x14ac:dyDescent="0.25">
      <c r="B28" s="216" t="s">
        <v>18</v>
      </c>
      <c r="C28" s="216">
        <v>89543438</v>
      </c>
      <c r="D28" s="216"/>
      <c r="E28" s="74">
        <v>95990000</v>
      </c>
      <c r="F28" s="75">
        <v>32459000</v>
      </c>
      <c r="G28" s="75">
        <f t="shared" si="3"/>
        <v>217992438</v>
      </c>
      <c r="J28" s="75">
        <f>'(B) Base Bud Adj'!R27</f>
        <v>-6018070</v>
      </c>
      <c r="L28" s="75">
        <f>'(C) 12-13 Expenditure Adjust.'!X27</f>
        <v>-12949600</v>
      </c>
      <c r="O28" s="75">
        <f>'(D) Tuition Revenue'!S27</f>
        <v>10223000</v>
      </c>
      <c r="R28" s="75">
        <f t="shared" si="0"/>
        <v>70575768</v>
      </c>
      <c r="S28" s="75">
        <f t="shared" si="1"/>
        <v>106213000</v>
      </c>
      <c r="T28" s="75">
        <f t="shared" si="2"/>
        <v>32459000</v>
      </c>
      <c r="U28" s="75">
        <f t="shared" si="4"/>
        <v>209247768</v>
      </c>
      <c r="X28" s="408"/>
      <c r="Y28" s="73"/>
    </row>
    <row r="29" spans="2:25" x14ac:dyDescent="0.25">
      <c r="B29" s="216" t="s">
        <v>19</v>
      </c>
      <c r="C29" s="216">
        <v>51833482</v>
      </c>
      <c r="D29" s="216"/>
      <c r="E29" s="74">
        <v>46981000</v>
      </c>
      <c r="F29" s="75">
        <v>8010000</v>
      </c>
      <c r="G29" s="75">
        <f t="shared" si="3"/>
        <v>106824482</v>
      </c>
      <c r="J29" s="75">
        <f>'(B) Base Bud Adj'!R28</f>
        <v>-2863230</v>
      </c>
      <c r="L29" s="75">
        <f>'(C) 12-13 Expenditure Adjust.'!X28</f>
        <v>-3827600</v>
      </c>
      <c r="O29" s="75">
        <f>'(D) Tuition Revenue'!S28</f>
        <v>3876000</v>
      </c>
      <c r="R29" s="75">
        <f t="shared" si="0"/>
        <v>45142652</v>
      </c>
      <c r="S29" s="75">
        <f t="shared" si="1"/>
        <v>50857000</v>
      </c>
      <c r="T29" s="75">
        <f t="shared" si="2"/>
        <v>8010000</v>
      </c>
      <c r="U29" s="75">
        <f t="shared" si="4"/>
        <v>104009652</v>
      </c>
      <c r="X29" s="408"/>
      <c r="Y29" s="73"/>
    </row>
    <row r="30" spans="2:25" x14ac:dyDescent="0.25">
      <c r="B30" s="216" t="s">
        <v>20</v>
      </c>
      <c r="C30" s="216">
        <v>46311423</v>
      </c>
      <c r="D30" s="216"/>
      <c r="E30" s="74">
        <v>43181000</v>
      </c>
      <c r="F30" s="75">
        <v>5056000</v>
      </c>
      <c r="G30" s="75">
        <f t="shared" si="3"/>
        <v>94548423</v>
      </c>
      <c r="J30" s="75">
        <f>'(B) Base Bud Adj'!R29</f>
        <v>-2633240</v>
      </c>
      <c r="L30" s="75">
        <f>'(C) 12-13 Expenditure Adjust.'!X29</f>
        <v>-4313000</v>
      </c>
      <c r="O30" s="75">
        <f>'(D) Tuition Revenue'!S29</f>
        <v>3017000</v>
      </c>
      <c r="R30" s="75">
        <f t="shared" si="0"/>
        <v>39365183</v>
      </c>
      <c r="S30" s="75">
        <f t="shared" si="1"/>
        <v>46198000</v>
      </c>
      <c r="T30" s="75">
        <f t="shared" si="2"/>
        <v>5056000</v>
      </c>
      <c r="U30" s="75">
        <f t="shared" si="4"/>
        <v>90619183</v>
      </c>
      <c r="X30" s="408"/>
      <c r="Y30" s="73"/>
    </row>
    <row r="31" spans="2:25" x14ac:dyDescent="0.25">
      <c r="B31" s="216" t="s">
        <v>21</v>
      </c>
      <c r="C31" s="216">
        <v>46552297</v>
      </c>
      <c r="D31" s="216"/>
      <c r="E31" s="74">
        <v>42312227</v>
      </c>
      <c r="F31" s="75">
        <v>5291790</v>
      </c>
      <c r="G31" s="75">
        <f t="shared" si="3"/>
        <v>94156314</v>
      </c>
      <c r="J31" s="75">
        <f>'(B) Base Bud Adj'!R30</f>
        <v>-2353350</v>
      </c>
      <c r="L31" s="75">
        <f>'(C) 12-13 Expenditure Adjust.'!X30</f>
        <v>-3380300</v>
      </c>
      <c r="O31" s="75">
        <f>'(D) Tuition Revenue'!S30</f>
        <v>9272000</v>
      </c>
      <c r="R31" s="75">
        <f t="shared" si="0"/>
        <v>40818647</v>
      </c>
      <c r="S31" s="75">
        <f t="shared" si="1"/>
        <v>51584227</v>
      </c>
      <c r="T31" s="75">
        <f t="shared" si="2"/>
        <v>5291790</v>
      </c>
      <c r="U31" s="75">
        <f t="shared" si="4"/>
        <v>97694664</v>
      </c>
      <c r="X31" s="408"/>
      <c r="Y31" s="73"/>
    </row>
    <row r="32" spans="2:25" ht="9" customHeight="1" x14ac:dyDescent="0.25"/>
    <row r="33" spans="1:23" s="73" customFormat="1" ht="15" customHeight="1" x14ac:dyDescent="0.25">
      <c r="B33" s="217" t="s">
        <v>22</v>
      </c>
      <c r="C33" s="217">
        <v>1872388736.1599998</v>
      </c>
      <c r="D33" s="217"/>
      <c r="E33" s="217">
        <f>SUM(E9:E32)</f>
        <v>2105595262</v>
      </c>
      <c r="F33" s="217">
        <f>SUM(F9:F31)</f>
        <v>340439700</v>
      </c>
      <c r="G33" s="217">
        <f>SUM(G9:G32)</f>
        <v>4318423698.1599998</v>
      </c>
      <c r="H33" s="212"/>
      <c r="I33" s="212"/>
      <c r="J33" s="217">
        <f>SUM(J9:J32)</f>
        <v>-111962270</v>
      </c>
      <c r="K33" s="217"/>
      <c r="L33" s="217">
        <f>SUM(L9:L32)</f>
        <v>-199622000</v>
      </c>
      <c r="M33" s="217"/>
      <c r="N33" s="217"/>
      <c r="O33" s="217">
        <f>SUM(O9:O32)</f>
        <v>180137000</v>
      </c>
      <c r="P33" s="217"/>
      <c r="Q33" s="212"/>
      <c r="R33" s="217">
        <f t="shared" ref="R33:U33" si="5">SUM(R9:R32)</f>
        <v>1560804466.1599998</v>
      </c>
      <c r="S33" s="217">
        <f t="shared" si="5"/>
        <v>2285732262</v>
      </c>
      <c r="T33" s="217">
        <f t="shared" si="5"/>
        <v>340439700</v>
      </c>
      <c r="U33" s="217">
        <f t="shared" si="5"/>
        <v>4186976428.1599998</v>
      </c>
      <c r="V33" s="75"/>
      <c r="W33" s="75"/>
    </row>
    <row r="34" spans="1:23" ht="9" customHeight="1" x14ac:dyDescent="0.25"/>
    <row r="35" spans="1:23" ht="12.75" customHeight="1" x14ac:dyDescent="0.25">
      <c r="B35" s="75" t="s">
        <v>23</v>
      </c>
      <c r="C35" s="75">
        <v>64433802</v>
      </c>
      <c r="E35" s="75">
        <v>0</v>
      </c>
      <c r="F35" s="75">
        <v>0</v>
      </c>
      <c r="G35" s="75">
        <f>SUM(C35:F35)</f>
        <v>64433802</v>
      </c>
      <c r="J35" s="75">
        <f>'(B) Base Bud Adj'!R34</f>
        <v>-220113</v>
      </c>
      <c r="L35" s="75">
        <f>'(C) 12-13 Expenditure Adjust.'!X34</f>
        <v>0</v>
      </c>
      <c r="O35" s="75">
        <f>'(D) Tuition Revenue'!S34</f>
        <v>0</v>
      </c>
      <c r="R35" s="75">
        <f t="shared" ref="R35" si="6">C35+J35+L35</f>
        <v>64213689</v>
      </c>
      <c r="S35" s="75">
        <f t="shared" ref="S35" si="7">E35+O35</f>
        <v>0</v>
      </c>
      <c r="T35" s="75">
        <f t="shared" ref="T35" si="8">F35</f>
        <v>0</v>
      </c>
      <c r="U35" s="75">
        <f t="shared" ref="U35" si="9">R35+S35+T35</f>
        <v>64213689</v>
      </c>
    </row>
    <row r="36" spans="1:23" ht="12.75" customHeight="1" x14ac:dyDescent="0.25">
      <c r="A36" s="411" t="s">
        <v>191</v>
      </c>
      <c r="B36" s="75" t="s">
        <v>29</v>
      </c>
      <c r="C36" s="75">
        <v>981735</v>
      </c>
      <c r="E36" s="75">
        <v>0</v>
      </c>
      <c r="F36" s="75">
        <v>0</v>
      </c>
      <c r="G36" s="75">
        <f t="shared" ref="G36:G41" si="10">SUM(C36:F36)</f>
        <v>981735</v>
      </c>
      <c r="J36" s="75">
        <f>'(B) Base Bud Adj'!R35</f>
        <v>0</v>
      </c>
      <c r="L36" s="75">
        <f>'(C) 12-13 Expenditure Adjust.'!X35</f>
        <v>-224000</v>
      </c>
      <c r="O36" s="75">
        <f>'(D) Tuition Revenue'!S35</f>
        <v>697000</v>
      </c>
      <c r="R36" s="75">
        <f t="shared" ref="R36:R41" si="11">C36+J36+L36</f>
        <v>757735</v>
      </c>
      <c r="S36" s="75">
        <f t="shared" ref="S36:S41" si="12">E36+O36</f>
        <v>697000</v>
      </c>
      <c r="T36" s="75">
        <f t="shared" ref="T36:T41" si="13">F36</f>
        <v>0</v>
      </c>
      <c r="U36" s="75">
        <f t="shared" ref="U36:U41" si="14">R36+S36+T36</f>
        <v>1454735</v>
      </c>
    </row>
    <row r="37" spans="1:23" ht="12.75" customHeight="1" x14ac:dyDescent="0.25">
      <c r="A37" s="411"/>
      <c r="B37" s="75" t="s">
        <v>24</v>
      </c>
      <c r="C37" s="75">
        <v>2269496</v>
      </c>
      <c r="E37" s="76">
        <v>2772000</v>
      </c>
      <c r="F37" s="75">
        <v>0</v>
      </c>
      <c r="G37" s="75">
        <f t="shared" si="10"/>
        <v>5041496</v>
      </c>
      <c r="J37" s="75">
        <f>'(B) Base Bud Adj'!R36</f>
        <v>0</v>
      </c>
      <c r="L37" s="75">
        <f>'(C) 12-13 Expenditure Adjust.'!X36</f>
        <v>-108000</v>
      </c>
      <c r="O37" s="75">
        <f>'(D) Tuition Revenue'!S36</f>
        <v>567000</v>
      </c>
      <c r="R37" s="75">
        <f t="shared" si="11"/>
        <v>2161496</v>
      </c>
      <c r="S37" s="75">
        <f t="shared" si="12"/>
        <v>3339000</v>
      </c>
      <c r="T37" s="75">
        <f t="shared" si="13"/>
        <v>0</v>
      </c>
      <c r="U37" s="75">
        <f t="shared" si="14"/>
        <v>5500496</v>
      </c>
    </row>
    <row r="38" spans="1:23" ht="12.75" customHeight="1" x14ac:dyDescent="0.25">
      <c r="A38" s="411" t="s">
        <v>191</v>
      </c>
      <c r="B38" s="75" t="s">
        <v>25</v>
      </c>
      <c r="C38" s="75">
        <v>57800</v>
      </c>
      <c r="E38" s="75">
        <v>0</v>
      </c>
      <c r="F38" s="75">
        <v>0</v>
      </c>
      <c r="G38" s="75">
        <f t="shared" si="10"/>
        <v>57800</v>
      </c>
      <c r="J38" s="75">
        <f>'(B) Base Bud Adj'!R37</f>
        <v>0</v>
      </c>
      <c r="L38" s="75">
        <f>'(C) 12-13 Expenditure Adjust.'!X37</f>
        <v>-46000</v>
      </c>
      <c r="O38" s="75">
        <f>'(D) Tuition Revenue'!S37</f>
        <v>144000</v>
      </c>
      <c r="R38" s="75">
        <f t="shared" si="11"/>
        <v>11800</v>
      </c>
      <c r="S38" s="75">
        <f t="shared" si="12"/>
        <v>144000</v>
      </c>
      <c r="T38" s="75">
        <f t="shared" si="13"/>
        <v>0</v>
      </c>
      <c r="U38" s="75">
        <f t="shared" si="14"/>
        <v>155800</v>
      </c>
    </row>
    <row r="39" spans="1:23" ht="12.75" customHeight="1" x14ac:dyDescent="0.25">
      <c r="B39" s="75" t="s">
        <v>26</v>
      </c>
      <c r="C39" s="75">
        <v>201141431</v>
      </c>
      <c r="D39" s="267"/>
      <c r="E39" s="75">
        <v>0</v>
      </c>
      <c r="F39" s="103">
        <v>1000</v>
      </c>
      <c r="G39" s="75">
        <f t="shared" si="10"/>
        <v>201142431</v>
      </c>
      <c r="J39" s="75">
        <f>'(B) Base Bud Adj'!R38</f>
        <v>-18437680</v>
      </c>
      <c r="L39" s="75">
        <f>'(C) 12-13 Expenditure Adjust.'!X38</f>
        <v>0</v>
      </c>
      <c r="O39" s="75">
        <f>'(D) Tuition Revenue'!S38</f>
        <v>0</v>
      </c>
      <c r="Q39" s="269"/>
      <c r="R39" s="75">
        <f t="shared" si="11"/>
        <v>182703751</v>
      </c>
      <c r="S39" s="75">
        <f t="shared" si="12"/>
        <v>0</v>
      </c>
      <c r="T39" s="75">
        <f t="shared" si="13"/>
        <v>1000</v>
      </c>
      <c r="U39" s="75">
        <f t="shared" si="14"/>
        <v>182704751</v>
      </c>
    </row>
    <row r="40" spans="1:23" ht="12.75" customHeight="1" x14ac:dyDescent="0.25">
      <c r="B40" s="75" t="s">
        <v>123</v>
      </c>
      <c r="C40" s="75">
        <v>0</v>
      </c>
      <c r="D40" s="267"/>
      <c r="E40" s="75">
        <v>0</v>
      </c>
      <c r="F40" s="103">
        <v>0</v>
      </c>
      <c r="G40" s="75">
        <f>SUM(C40:F40)</f>
        <v>0</v>
      </c>
      <c r="J40" s="75">
        <f>'(B) Base Bud Adj'!R39</f>
        <v>0</v>
      </c>
      <c r="L40" s="75">
        <f>'(C) 12-13 Expenditure Adjust.'!X39</f>
        <v>200000000</v>
      </c>
      <c r="O40" s="75">
        <f>'(D) Tuition Revenue'!S39</f>
        <v>0</v>
      </c>
      <c r="Q40" s="269"/>
      <c r="R40" s="75">
        <f t="shared" si="11"/>
        <v>200000000</v>
      </c>
      <c r="S40" s="75">
        <f t="shared" si="12"/>
        <v>0</v>
      </c>
      <c r="T40" s="75">
        <f t="shared" si="13"/>
        <v>0</v>
      </c>
      <c r="U40" s="75">
        <f t="shared" si="14"/>
        <v>200000000</v>
      </c>
    </row>
    <row r="41" spans="1:23" ht="12.75" customHeight="1" x14ac:dyDescent="0.25">
      <c r="B41" s="75" t="s">
        <v>124</v>
      </c>
      <c r="C41" s="75">
        <v>0</v>
      </c>
      <c r="D41" s="267"/>
      <c r="E41" s="75">
        <v>0</v>
      </c>
      <c r="F41" s="103">
        <v>0</v>
      </c>
      <c r="G41" s="75">
        <f t="shared" si="10"/>
        <v>0</v>
      </c>
      <c r="J41" s="75">
        <f>'(B) Base Bud Adj'!R40</f>
        <v>189775000</v>
      </c>
      <c r="L41" s="75">
        <f>'(C) 12-13 Expenditure Adjust.'!X40</f>
        <v>0</v>
      </c>
      <c r="O41" s="75">
        <f>'(D) Tuition Revenue'!S40</f>
        <v>0</v>
      </c>
      <c r="Q41" s="269"/>
      <c r="R41" s="75">
        <f t="shared" si="11"/>
        <v>189775000</v>
      </c>
      <c r="S41" s="75">
        <f t="shared" si="12"/>
        <v>0</v>
      </c>
      <c r="T41" s="75">
        <f t="shared" si="13"/>
        <v>0</v>
      </c>
      <c r="U41" s="75">
        <f t="shared" si="14"/>
        <v>189775000</v>
      </c>
    </row>
    <row r="42" spans="1:23" ht="9" customHeight="1" x14ac:dyDescent="0.25"/>
    <row r="43" spans="1:23" s="73" customFormat="1" ht="15" customHeight="1" thickBot="1" x14ac:dyDescent="0.3">
      <c r="B43" s="222" t="s">
        <v>27</v>
      </c>
      <c r="C43" s="222">
        <f>SUM(C33:C39)</f>
        <v>2141273000.1599998</v>
      </c>
      <c r="D43" s="222"/>
      <c r="E43" s="222">
        <f>SUM(E33:E39)</f>
        <v>2108367262</v>
      </c>
      <c r="F43" s="222">
        <f>SUM(F33:F41)</f>
        <v>340440700</v>
      </c>
      <c r="G43" s="222">
        <f>SUM(G33:G41)</f>
        <v>4590080962.1599998</v>
      </c>
      <c r="H43" s="212"/>
      <c r="I43" s="212"/>
      <c r="J43" s="268">
        <f>SUM(J33:J41)</f>
        <v>59154937</v>
      </c>
      <c r="K43" s="268"/>
      <c r="L43" s="268">
        <f>SUM(L33:L41)</f>
        <v>0</v>
      </c>
      <c r="M43" s="268"/>
      <c r="N43" s="268"/>
      <c r="O43" s="268">
        <f>SUM(O33:O41)</f>
        <v>181545000</v>
      </c>
      <c r="P43" s="268"/>
      <c r="Q43" s="212"/>
      <c r="R43" s="222">
        <f>SUM(R33:R41)</f>
        <v>2200427937.1599998</v>
      </c>
      <c r="S43" s="222">
        <f>SUM(S33:S41)</f>
        <v>2289912262</v>
      </c>
      <c r="T43" s="222">
        <f>SUM(T33:T41)</f>
        <v>340440700</v>
      </c>
      <c r="U43" s="222">
        <f>SUM(U33:U41)</f>
        <v>4830780899.1599998</v>
      </c>
    </row>
    <row r="45" spans="1:23" ht="16.8" x14ac:dyDescent="0.25">
      <c r="A45" s="15">
        <v>1</v>
      </c>
      <c r="B45" s="80" t="s">
        <v>193</v>
      </c>
    </row>
    <row r="46" spans="1:23" x14ac:dyDescent="0.25">
      <c r="A46" s="412" t="s">
        <v>191</v>
      </c>
      <c r="B46" s="413" t="s">
        <v>192</v>
      </c>
      <c r="E46" s="99"/>
      <c r="F46" s="99"/>
      <c r="G46" s="99"/>
      <c r="H46" s="270"/>
      <c r="I46" s="270"/>
      <c r="J46" s="271"/>
      <c r="K46" s="271"/>
      <c r="L46" s="271"/>
      <c r="M46" s="271"/>
      <c r="N46" s="271"/>
      <c r="O46" s="271"/>
      <c r="P46" s="271"/>
      <c r="Q46" s="270"/>
      <c r="R46" s="99"/>
      <c r="S46" s="99"/>
      <c r="T46" s="99"/>
    </row>
    <row r="47" spans="1:23" ht="18" customHeight="1" x14ac:dyDescent="0.25"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</row>
    <row r="52" spans="18:18" x14ac:dyDescent="0.25">
      <c r="R52" s="409"/>
    </row>
  </sheetData>
  <mergeCells count="4">
    <mergeCell ref="C4:G4"/>
    <mergeCell ref="I4:P4"/>
    <mergeCell ref="J5:M5"/>
    <mergeCell ref="R4:U4"/>
  </mergeCells>
  <phoneticPr fontId="0" type="noConversion"/>
  <printOptions horizontalCentered="1"/>
  <pageMargins left="0.25" right="0.25" top="0.5" bottom="0.25" header="0.5" footer="0.5"/>
  <pageSetup paperSize="5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U38" sqref="U38"/>
    </sheetView>
  </sheetViews>
  <sheetFormatPr defaultColWidth="9.33203125" defaultRowHeight="13.2" x14ac:dyDescent="0.25"/>
  <cols>
    <col min="1" max="1" width="26.77734375" style="75" customWidth="1"/>
    <col min="2" max="2" width="14.77734375" style="75" customWidth="1"/>
    <col min="3" max="3" width="1.77734375" style="75" customWidth="1"/>
    <col min="4" max="4" width="14.77734375" style="80" customWidth="1"/>
    <col min="5" max="5" width="1.77734375" style="80" customWidth="1"/>
    <col min="6" max="6" width="13.77734375" style="80" customWidth="1"/>
    <col min="7" max="7" width="1.77734375" style="80" customWidth="1"/>
    <col min="8" max="8" width="16.77734375" style="80" customWidth="1"/>
    <col min="9" max="9" width="1.77734375" style="80" customWidth="1"/>
    <col min="10" max="10" width="14.77734375" style="80" bestFit="1" customWidth="1"/>
    <col min="11" max="11" width="2.33203125" style="80" customWidth="1"/>
    <col min="12" max="12" width="4.77734375" style="80" customWidth="1"/>
    <col min="13" max="13" width="11.44140625" style="80" bestFit="1" customWidth="1"/>
    <col min="14" max="14" width="4.77734375" style="80" customWidth="1"/>
    <col min="15" max="15" width="16.77734375" style="80" hidden="1" customWidth="1"/>
    <col min="16" max="16" width="1.77734375" style="80" hidden="1" customWidth="1"/>
    <col min="17" max="17" width="2.33203125" style="80" customWidth="1"/>
    <col min="18" max="18" width="14.77734375" style="80" customWidth="1"/>
    <col min="19" max="19" width="2.33203125" style="80" customWidth="1"/>
    <col min="20" max="20" width="16.77734375" style="80" customWidth="1"/>
    <col min="21" max="21" width="10.77734375" style="80" customWidth="1"/>
    <col min="22" max="22" width="2.77734375" style="75" customWidth="1"/>
    <col min="23" max="24" width="12.77734375" style="75" customWidth="1"/>
    <col min="25" max="25" width="13.77734375" style="75" customWidth="1"/>
    <col min="26" max="26" width="3.109375" style="75" customWidth="1"/>
    <col min="27" max="27" width="14.109375" style="75" bestFit="1" customWidth="1"/>
    <col min="28" max="16384" width="9.33203125" style="75"/>
  </cols>
  <sheetData>
    <row r="1" spans="1:27" ht="18" x14ac:dyDescent="0.3">
      <c r="A1" s="14" t="s">
        <v>72</v>
      </c>
      <c r="B1" s="1"/>
      <c r="C1" s="1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183"/>
      <c r="W1" s="1" t="s">
        <v>132</v>
      </c>
      <c r="X1" s="185"/>
      <c r="Y1" s="185"/>
      <c r="Z1" s="181"/>
      <c r="AA1" s="181"/>
    </row>
    <row r="2" spans="1:27" ht="7.5" customHeight="1" x14ac:dyDescent="0.3">
      <c r="A2" s="21"/>
      <c r="B2" s="1"/>
      <c r="C2" s="1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08"/>
      <c r="S2" s="77"/>
      <c r="T2" s="77"/>
      <c r="U2" s="77"/>
      <c r="V2" s="183"/>
      <c r="W2" s="185"/>
    </row>
    <row r="3" spans="1:27" s="16" customFormat="1" ht="13.8" x14ac:dyDescent="0.25">
      <c r="B3" s="17">
        <f>-1</f>
        <v>-1</v>
      </c>
      <c r="D3" s="17">
        <v>-2</v>
      </c>
      <c r="E3" s="17"/>
      <c r="F3" s="17">
        <v>-3</v>
      </c>
      <c r="G3" s="17"/>
      <c r="H3" s="17">
        <v>-4</v>
      </c>
      <c r="J3" s="18">
        <f>-5</f>
        <v>-5</v>
      </c>
      <c r="K3" s="18"/>
      <c r="L3" s="18"/>
      <c r="M3" s="18">
        <f>-6</f>
        <v>-6</v>
      </c>
      <c r="N3" s="18"/>
      <c r="O3" s="17">
        <f>-5</f>
        <v>-5</v>
      </c>
      <c r="P3" s="17"/>
      <c r="Q3" s="17"/>
      <c r="R3" s="114" t="s">
        <v>93</v>
      </c>
      <c r="S3" s="17"/>
      <c r="T3" s="114" t="s">
        <v>94</v>
      </c>
      <c r="V3" s="189"/>
      <c r="W3" s="98" t="s">
        <v>61</v>
      </c>
      <c r="X3" s="98" t="s">
        <v>78</v>
      </c>
      <c r="Y3" s="98" t="s">
        <v>79</v>
      </c>
      <c r="Z3" s="97"/>
      <c r="AA3" s="97"/>
    </row>
    <row r="4" spans="1:27" s="6" customFormat="1" ht="18.600000000000001" customHeight="1" x14ac:dyDescent="0.3">
      <c r="B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V4" s="193"/>
      <c r="W4" s="421" t="s">
        <v>180</v>
      </c>
      <c r="X4" s="421"/>
      <c r="Y4" s="421"/>
      <c r="Z4" s="100"/>
      <c r="AA4" s="100"/>
    </row>
    <row r="5" spans="1:27" s="261" customFormat="1" ht="75" customHeight="1" x14ac:dyDescent="0.25">
      <c r="A5" s="260"/>
      <c r="B5" s="278" t="s">
        <v>186</v>
      </c>
      <c r="C5" s="260"/>
      <c r="D5" s="260" t="s">
        <v>139</v>
      </c>
      <c r="E5" s="260"/>
      <c r="F5" s="260" t="s">
        <v>144</v>
      </c>
      <c r="G5" s="304"/>
      <c r="H5" s="278" t="s">
        <v>147</v>
      </c>
      <c r="I5" s="260"/>
      <c r="J5" s="304" t="s">
        <v>185</v>
      </c>
      <c r="K5" s="260"/>
      <c r="L5" s="424" t="s">
        <v>145</v>
      </c>
      <c r="M5" s="424"/>
      <c r="N5" s="424"/>
      <c r="O5" s="260"/>
      <c r="P5" s="260"/>
      <c r="Q5" s="279"/>
      <c r="R5" s="258" t="s">
        <v>77</v>
      </c>
      <c r="S5" s="279"/>
      <c r="T5" s="396" t="s">
        <v>160</v>
      </c>
      <c r="V5" s="263"/>
      <c r="W5" s="264" t="s">
        <v>31</v>
      </c>
      <c r="X5" s="265" t="s">
        <v>30</v>
      </c>
      <c r="Y5" s="265" t="s">
        <v>141</v>
      </c>
      <c r="Z5" s="265"/>
      <c r="AA5" s="266" t="s">
        <v>122</v>
      </c>
    </row>
    <row r="6" spans="1:27" s="165" customFormat="1" ht="14.25" customHeight="1" x14ac:dyDescent="0.25">
      <c r="A6" s="162"/>
      <c r="B6" s="163"/>
      <c r="C6" s="162"/>
      <c r="D6" s="164"/>
      <c r="E6" s="164"/>
      <c r="F6" s="164"/>
      <c r="G6" s="164"/>
      <c r="H6" s="83" t="s">
        <v>148</v>
      </c>
      <c r="I6" s="164"/>
      <c r="J6" s="84"/>
      <c r="K6" s="84"/>
      <c r="L6" s="84"/>
      <c r="M6" s="84"/>
      <c r="N6" s="84"/>
      <c r="O6" s="84"/>
      <c r="P6" s="84"/>
      <c r="Q6" s="84"/>
      <c r="R6" s="305" t="s">
        <v>151</v>
      </c>
      <c r="S6" s="84"/>
      <c r="T6" s="83" t="s">
        <v>179</v>
      </c>
      <c r="V6" s="195"/>
      <c r="W6" s="95"/>
      <c r="X6" s="85"/>
      <c r="Y6" s="85"/>
      <c r="Z6" s="85"/>
      <c r="AA6" s="83" t="s">
        <v>80</v>
      </c>
    </row>
    <row r="7" spans="1:27" ht="7.5" customHeight="1" x14ac:dyDescent="0.25">
      <c r="A7" s="78"/>
      <c r="B7" s="102"/>
      <c r="C7" s="78"/>
      <c r="D7" s="79"/>
      <c r="E7" s="79"/>
      <c r="F7" s="79"/>
      <c r="G7" s="79"/>
      <c r="H7" s="166"/>
      <c r="I7" s="79"/>
      <c r="J7" s="11"/>
      <c r="K7" s="11"/>
      <c r="L7" s="11"/>
      <c r="M7" s="11"/>
      <c r="N7" s="11"/>
      <c r="O7" s="11"/>
      <c r="P7" s="11"/>
      <c r="Q7" s="11"/>
      <c r="R7" s="10"/>
      <c r="S7" s="11"/>
      <c r="T7" s="10"/>
      <c r="V7" s="196"/>
      <c r="W7" s="96"/>
      <c r="X7" s="69"/>
      <c r="Y7" s="69"/>
      <c r="Z7" s="69"/>
      <c r="AA7" s="82"/>
    </row>
    <row r="8" spans="1:27" s="13" customFormat="1" ht="12.75" customHeight="1" x14ac:dyDescent="0.25">
      <c r="A8" s="73" t="s">
        <v>0</v>
      </c>
      <c r="B8" s="209">
        <f>'(A) Budget Summary'!C9</f>
        <v>48741489</v>
      </c>
      <c r="C8" s="210"/>
      <c r="D8" s="211">
        <v>-2065800</v>
      </c>
      <c r="E8" s="211"/>
      <c r="F8" s="211">
        <v>-259980</v>
      </c>
      <c r="G8" s="211"/>
      <c r="H8" s="209">
        <f>B8+D8+F8</f>
        <v>46415709</v>
      </c>
      <c r="I8" s="211"/>
      <c r="J8" s="211"/>
      <c r="K8" s="211"/>
      <c r="L8" s="211"/>
      <c r="M8" s="211">
        <v>-39200</v>
      </c>
      <c r="N8" s="211"/>
      <c r="O8" s="211"/>
      <c r="P8" s="211"/>
      <c r="Q8" s="211"/>
      <c r="R8" s="209">
        <f>D8+F8+J8+M8</f>
        <v>-2364980</v>
      </c>
      <c r="S8" s="211"/>
      <c r="T8" s="209">
        <f>B8+R8</f>
        <v>46376509</v>
      </c>
      <c r="V8" s="74"/>
      <c r="W8" s="229">
        <v>316000</v>
      </c>
      <c r="X8" s="230">
        <f>92000+1000</f>
        <v>93000</v>
      </c>
      <c r="Y8" s="230">
        <v>0</v>
      </c>
      <c r="Z8" s="230"/>
      <c r="AA8" s="231">
        <f t="shared" ref="AA8:AA30" si="0">SUM(W8:Z8)</f>
        <v>409000</v>
      </c>
    </row>
    <row r="9" spans="1:27" s="9" customFormat="1" ht="12.75" customHeight="1" x14ac:dyDescent="0.25">
      <c r="A9" s="75" t="s">
        <v>1</v>
      </c>
      <c r="B9" s="213">
        <f>'(A) Budget Summary'!C10</f>
        <v>44118320</v>
      </c>
      <c r="C9" s="80"/>
      <c r="D9" s="214">
        <f>-1648100</f>
        <v>-1648100</v>
      </c>
      <c r="E9" s="214"/>
      <c r="F9" s="214">
        <v>-198510</v>
      </c>
      <c r="G9" s="214"/>
      <c r="H9" s="215">
        <f t="shared" ref="H9:H30" si="1">B9+D9+F9</f>
        <v>42271710</v>
      </c>
      <c r="I9" s="214"/>
      <c r="J9" s="77">
        <v>1648100</v>
      </c>
      <c r="K9" s="77"/>
      <c r="L9" s="77"/>
      <c r="M9" s="77">
        <v>-19000</v>
      </c>
      <c r="N9" s="77"/>
      <c r="O9" s="77"/>
      <c r="P9" s="77"/>
      <c r="Q9" s="77"/>
      <c r="R9" s="213">
        <f>D9+F9+J9+M9</f>
        <v>-217510</v>
      </c>
      <c r="S9" s="77"/>
      <c r="T9" s="213">
        <f>B9+R9</f>
        <v>43900810</v>
      </c>
      <c r="V9" s="74"/>
      <c r="W9" s="236">
        <v>257000</v>
      </c>
      <c r="X9" s="237">
        <v>80000</v>
      </c>
      <c r="Y9" s="237">
        <v>747000</v>
      </c>
      <c r="Z9" s="237"/>
      <c r="AA9" s="238">
        <f t="shared" si="0"/>
        <v>1084000</v>
      </c>
    </row>
    <row r="10" spans="1:27" s="9" customFormat="1" ht="12.75" customHeight="1" x14ac:dyDescent="0.25">
      <c r="A10" s="75" t="s">
        <v>2</v>
      </c>
      <c r="B10" s="213">
        <f>'(A) Budget Summary'!C11</f>
        <v>81330222</v>
      </c>
      <c r="C10" s="80"/>
      <c r="D10" s="214">
        <v>-4075800</v>
      </c>
      <c r="E10" s="214"/>
      <c r="F10" s="214">
        <v>-502490</v>
      </c>
      <c r="G10" s="214"/>
      <c r="H10" s="215">
        <f t="shared" si="1"/>
        <v>76751932</v>
      </c>
      <c r="I10" s="214"/>
      <c r="J10" s="77"/>
      <c r="K10" s="77"/>
      <c r="L10" s="77"/>
      <c r="M10" s="77">
        <v>-83300</v>
      </c>
      <c r="N10" s="77"/>
      <c r="O10" s="77"/>
      <c r="P10" s="77"/>
      <c r="Q10" s="77"/>
      <c r="R10" s="213">
        <f t="shared" ref="R10:R30" si="2">D10+F10+J10+M10</f>
        <v>-4661590</v>
      </c>
      <c r="S10" s="77"/>
      <c r="T10" s="213">
        <f t="shared" ref="T10:T30" si="3">B10+R10</f>
        <v>76668632</v>
      </c>
      <c r="V10" s="74"/>
      <c r="W10" s="236">
        <v>690000</v>
      </c>
      <c r="X10" s="237">
        <v>197000</v>
      </c>
      <c r="Y10" s="237">
        <v>58000</v>
      </c>
      <c r="Z10" s="237"/>
      <c r="AA10" s="238">
        <f t="shared" si="0"/>
        <v>945000</v>
      </c>
    </row>
    <row r="11" spans="1:27" s="9" customFormat="1" ht="12.75" customHeight="1" x14ac:dyDescent="0.25">
      <c r="A11" s="75" t="s">
        <v>3</v>
      </c>
      <c r="B11" s="213">
        <f>'(A) Budget Summary'!C12</f>
        <v>59766882</v>
      </c>
      <c r="C11" s="80"/>
      <c r="D11" s="214">
        <v>-2681100</v>
      </c>
      <c r="E11" s="214"/>
      <c r="F11" s="214">
        <v>-307630</v>
      </c>
      <c r="G11" s="214"/>
      <c r="H11" s="215">
        <f t="shared" si="1"/>
        <v>56778152</v>
      </c>
      <c r="I11" s="214"/>
      <c r="J11" s="77"/>
      <c r="K11" s="77"/>
      <c r="L11" s="77"/>
      <c r="M11" s="77">
        <v>-58300</v>
      </c>
      <c r="N11" s="77"/>
      <c r="O11" s="77"/>
      <c r="P11" s="77"/>
      <c r="Q11" s="77"/>
      <c r="R11" s="213">
        <f t="shared" si="2"/>
        <v>-3047030</v>
      </c>
      <c r="S11" s="77"/>
      <c r="T11" s="213">
        <f t="shared" si="3"/>
        <v>56719852</v>
      </c>
      <c r="V11" s="74"/>
      <c r="W11" s="236">
        <v>383000</v>
      </c>
      <c r="X11" s="237">
        <v>113000</v>
      </c>
      <c r="Y11" s="237">
        <v>0</v>
      </c>
      <c r="Z11" s="237"/>
      <c r="AA11" s="238">
        <f t="shared" si="0"/>
        <v>496000</v>
      </c>
    </row>
    <row r="12" spans="1:27" s="9" customFormat="1" ht="12.75" customHeight="1" x14ac:dyDescent="0.25">
      <c r="A12" s="75" t="s">
        <v>28</v>
      </c>
      <c r="B12" s="213">
        <f>'(A) Budget Summary'!C13</f>
        <v>64021941</v>
      </c>
      <c r="C12" s="80"/>
      <c r="D12" s="214">
        <v>-3760500</v>
      </c>
      <c r="E12" s="214"/>
      <c r="F12" s="214">
        <v>-442980</v>
      </c>
      <c r="G12" s="214"/>
      <c r="H12" s="215">
        <f t="shared" si="1"/>
        <v>59818461</v>
      </c>
      <c r="I12" s="214"/>
      <c r="J12" s="77"/>
      <c r="K12" s="77"/>
      <c r="L12" s="77"/>
      <c r="M12" s="77">
        <v>-84500</v>
      </c>
      <c r="N12" s="77"/>
      <c r="O12" s="77"/>
      <c r="P12" s="77"/>
      <c r="Q12" s="77"/>
      <c r="R12" s="213">
        <f t="shared" si="2"/>
        <v>-4287980</v>
      </c>
      <c r="S12" s="77"/>
      <c r="T12" s="213">
        <f t="shared" si="3"/>
        <v>59733961</v>
      </c>
      <c r="V12" s="74"/>
      <c r="W12" s="236">
        <v>460000</v>
      </c>
      <c r="X12" s="237">
        <v>157000</v>
      </c>
      <c r="Y12" s="237">
        <v>0</v>
      </c>
      <c r="Z12" s="237"/>
      <c r="AA12" s="238">
        <f t="shared" si="0"/>
        <v>617000</v>
      </c>
    </row>
    <row r="13" spans="1:27" s="9" customFormat="1" ht="12.75" customHeight="1" x14ac:dyDescent="0.25">
      <c r="A13" s="75" t="s">
        <v>4</v>
      </c>
      <c r="B13" s="213">
        <f>'(A) Budget Summary'!C14</f>
        <v>105923822</v>
      </c>
      <c r="C13" s="80"/>
      <c r="D13" s="214">
        <v>-5133700</v>
      </c>
      <c r="E13" s="214"/>
      <c r="F13" s="214">
        <v>-575490</v>
      </c>
      <c r="G13" s="214"/>
      <c r="H13" s="215">
        <f t="shared" si="1"/>
        <v>100214632</v>
      </c>
      <c r="I13" s="214"/>
      <c r="J13" s="77"/>
      <c r="K13" s="77"/>
      <c r="L13" s="77"/>
      <c r="M13" s="77">
        <v>-107200</v>
      </c>
      <c r="N13" s="77"/>
      <c r="O13" s="77"/>
      <c r="P13" s="77"/>
      <c r="Q13" s="77"/>
      <c r="R13" s="213">
        <f t="shared" si="2"/>
        <v>-5816390</v>
      </c>
      <c r="S13" s="77"/>
      <c r="T13" s="213">
        <f t="shared" si="3"/>
        <v>100107432</v>
      </c>
      <c r="V13" s="74"/>
      <c r="W13" s="236">
        <v>777000</v>
      </c>
      <c r="X13" s="237">
        <v>228000</v>
      </c>
      <c r="Y13" s="237">
        <v>0</v>
      </c>
      <c r="Z13" s="237"/>
      <c r="AA13" s="238">
        <f t="shared" si="0"/>
        <v>1005000</v>
      </c>
    </row>
    <row r="14" spans="1:27" s="9" customFormat="1" ht="12.75" customHeight="1" x14ac:dyDescent="0.25">
      <c r="A14" s="75" t="s">
        <v>5</v>
      </c>
      <c r="B14" s="213">
        <f>'(A) Budget Summary'!C15</f>
        <v>116085961</v>
      </c>
      <c r="C14" s="80"/>
      <c r="D14" s="214">
        <v>-7460700</v>
      </c>
      <c r="E14" s="214"/>
      <c r="F14" s="214">
        <v>-831800</v>
      </c>
      <c r="G14" s="214"/>
      <c r="H14" s="215">
        <f t="shared" si="1"/>
        <v>107793461</v>
      </c>
      <c r="I14" s="214"/>
      <c r="J14" s="77"/>
      <c r="K14" s="77"/>
      <c r="L14" s="77"/>
      <c r="M14" s="77">
        <v>-185900</v>
      </c>
      <c r="N14" s="77"/>
      <c r="O14" s="77"/>
      <c r="P14" s="77"/>
      <c r="Q14" s="77"/>
      <c r="R14" s="213">
        <f t="shared" si="2"/>
        <v>-8478400</v>
      </c>
      <c r="S14" s="77"/>
      <c r="T14" s="213">
        <f t="shared" si="3"/>
        <v>107607561</v>
      </c>
      <c r="V14" s="74"/>
      <c r="W14" s="236">
        <v>1058000</v>
      </c>
      <c r="X14" s="237">
        <v>306000</v>
      </c>
      <c r="Y14" s="237">
        <v>0</v>
      </c>
      <c r="Z14" s="237"/>
      <c r="AA14" s="238">
        <f t="shared" si="0"/>
        <v>1364000</v>
      </c>
    </row>
    <row r="15" spans="1:27" s="9" customFormat="1" ht="12.75" customHeight="1" x14ac:dyDescent="0.25">
      <c r="A15" s="75" t="s">
        <v>6</v>
      </c>
      <c r="B15" s="213">
        <f>'(A) Budget Summary'!C16</f>
        <v>59408350</v>
      </c>
      <c r="C15" s="80"/>
      <c r="D15" s="214">
        <v>-2494200</v>
      </c>
      <c r="E15" s="214"/>
      <c r="F15" s="214">
        <v>-312340</v>
      </c>
      <c r="G15" s="214"/>
      <c r="H15" s="215">
        <f t="shared" si="1"/>
        <v>56601810</v>
      </c>
      <c r="I15" s="214"/>
      <c r="J15" s="77"/>
      <c r="K15" s="77"/>
      <c r="L15" s="77"/>
      <c r="M15" s="77">
        <v>-45200</v>
      </c>
      <c r="N15" s="77"/>
      <c r="O15" s="77"/>
      <c r="P15" s="77"/>
      <c r="Q15" s="77"/>
      <c r="R15" s="213">
        <f t="shared" si="2"/>
        <v>-2851740</v>
      </c>
      <c r="S15" s="77"/>
      <c r="T15" s="213">
        <f t="shared" si="3"/>
        <v>56556610</v>
      </c>
      <c r="V15" s="74"/>
      <c r="W15" s="236">
        <v>410000</v>
      </c>
      <c r="X15" s="237">
        <v>147000</v>
      </c>
      <c r="Y15" s="237">
        <v>0</v>
      </c>
      <c r="Z15" s="237"/>
      <c r="AA15" s="238">
        <f t="shared" si="0"/>
        <v>557000</v>
      </c>
    </row>
    <row r="16" spans="1:27" s="9" customFormat="1" ht="12.75" customHeight="1" x14ac:dyDescent="0.25">
      <c r="A16" s="75" t="s">
        <v>7</v>
      </c>
      <c r="B16" s="213">
        <f>'(A) Budget Summary'!C17</f>
        <v>131395036.16</v>
      </c>
      <c r="C16" s="80"/>
      <c r="D16" s="214">
        <v>-7653700</v>
      </c>
      <c r="E16" s="214"/>
      <c r="F16" s="214">
        <v>-1012100</v>
      </c>
      <c r="G16" s="214"/>
      <c r="H16" s="215">
        <f t="shared" si="1"/>
        <v>122729236.16</v>
      </c>
      <c r="I16" s="214"/>
      <c r="J16" s="77"/>
      <c r="K16" s="77"/>
      <c r="L16" s="77"/>
      <c r="M16" s="77">
        <v>-187100</v>
      </c>
      <c r="N16" s="77"/>
      <c r="O16" s="77"/>
      <c r="P16" s="77"/>
      <c r="Q16" s="77"/>
      <c r="R16" s="213">
        <f t="shared" si="2"/>
        <v>-8852900</v>
      </c>
      <c r="S16" s="77"/>
      <c r="T16" s="213">
        <f t="shared" si="3"/>
        <v>122542136.16</v>
      </c>
      <c r="V16" s="74"/>
      <c r="W16" s="236">
        <v>1121000</v>
      </c>
      <c r="X16" s="237">
        <v>329000</v>
      </c>
      <c r="Y16" s="237">
        <v>0</v>
      </c>
      <c r="Z16" s="237"/>
      <c r="AA16" s="238">
        <f t="shared" si="0"/>
        <v>1450000</v>
      </c>
    </row>
    <row r="17" spans="1:27" s="9" customFormat="1" ht="12.75" customHeight="1" x14ac:dyDescent="0.25">
      <c r="A17" s="75" t="s">
        <v>8</v>
      </c>
      <c r="B17" s="213">
        <f>'(A) Budget Summary'!C18</f>
        <v>96874129</v>
      </c>
      <c r="C17" s="80"/>
      <c r="D17" s="214">
        <v>-4761100</v>
      </c>
      <c r="E17" s="214"/>
      <c r="F17" s="214">
        <v>-584590</v>
      </c>
      <c r="G17" s="214"/>
      <c r="H17" s="215">
        <f t="shared" si="1"/>
        <v>91528439</v>
      </c>
      <c r="I17" s="214"/>
      <c r="J17" s="77"/>
      <c r="K17" s="77"/>
      <c r="L17" s="77"/>
      <c r="M17" s="77">
        <v>-108800</v>
      </c>
      <c r="N17" s="77"/>
      <c r="O17" s="77"/>
      <c r="P17" s="77"/>
      <c r="Q17" s="77"/>
      <c r="R17" s="213">
        <f t="shared" si="2"/>
        <v>-5454490</v>
      </c>
      <c r="S17" s="77"/>
      <c r="T17" s="213">
        <f t="shared" si="3"/>
        <v>91419639</v>
      </c>
      <c r="V17" s="74"/>
      <c r="W17" s="236">
        <v>637000</v>
      </c>
      <c r="X17" s="237">
        <v>254000</v>
      </c>
      <c r="Y17" s="237">
        <v>0</v>
      </c>
      <c r="Z17" s="237"/>
      <c r="AA17" s="238">
        <f t="shared" si="0"/>
        <v>891000</v>
      </c>
    </row>
    <row r="18" spans="1:27" s="9" customFormat="1" ht="12.75" customHeight="1" x14ac:dyDescent="0.25">
      <c r="A18" s="75" t="s">
        <v>9</v>
      </c>
      <c r="B18" s="213">
        <f>'(A) Budget Summary'!C19</f>
        <v>21107751</v>
      </c>
      <c r="C18" s="80"/>
      <c r="D18" s="75">
        <f>-724700</f>
        <v>-724700</v>
      </c>
      <c r="E18" s="214"/>
      <c r="F18" s="214">
        <v>-75680</v>
      </c>
      <c r="G18" s="214"/>
      <c r="H18" s="215">
        <f t="shared" si="1"/>
        <v>20307371</v>
      </c>
      <c r="I18" s="214"/>
      <c r="J18" s="77">
        <v>724700</v>
      </c>
      <c r="K18" s="77"/>
      <c r="L18" s="77"/>
      <c r="M18" s="77">
        <v>-5900</v>
      </c>
      <c r="N18" s="77"/>
      <c r="O18" s="77"/>
      <c r="P18" s="77"/>
      <c r="Q18" s="77"/>
      <c r="R18" s="213">
        <f t="shared" si="2"/>
        <v>-81580</v>
      </c>
      <c r="S18" s="77"/>
      <c r="T18" s="213">
        <f t="shared" si="3"/>
        <v>21026171</v>
      </c>
      <c r="V18" s="74"/>
      <c r="W18" s="236">
        <v>87000</v>
      </c>
      <c r="X18" s="237">
        <v>45000</v>
      </c>
      <c r="Y18" s="237">
        <v>0</v>
      </c>
      <c r="Z18" s="237"/>
      <c r="AA18" s="238">
        <f t="shared" si="0"/>
        <v>132000</v>
      </c>
    </row>
    <row r="19" spans="1:27" s="9" customFormat="1" ht="12.75" customHeight="1" x14ac:dyDescent="0.25">
      <c r="A19" s="75" t="s">
        <v>10</v>
      </c>
      <c r="B19" s="213">
        <f>'(A) Budget Summary'!C20</f>
        <v>51339423</v>
      </c>
      <c r="C19" s="80"/>
      <c r="D19" s="214">
        <v>-1860700</v>
      </c>
      <c r="E19" s="214"/>
      <c r="F19" s="214">
        <v>-208340</v>
      </c>
      <c r="G19" s="214"/>
      <c r="H19" s="215">
        <f t="shared" si="1"/>
        <v>49270383</v>
      </c>
      <c r="I19" s="214"/>
      <c r="J19" s="77"/>
      <c r="K19" s="77"/>
      <c r="L19" s="77"/>
      <c r="M19" s="77">
        <v>-24100</v>
      </c>
      <c r="N19" s="77"/>
      <c r="O19" s="77"/>
      <c r="P19" s="77"/>
      <c r="Q19" s="77"/>
      <c r="R19" s="213">
        <f t="shared" si="2"/>
        <v>-2093140</v>
      </c>
      <c r="S19" s="77"/>
      <c r="T19" s="213">
        <f t="shared" si="3"/>
        <v>49246283</v>
      </c>
      <c r="V19" s="74"/>
      <c r="W19" s="236">
        <v>258000</v>
      </c>
      <c r="X19" s="237">
        <v>78000</v>
      </c>
      <c r="Y19" s="237">
        <v>0</v>
      </c>
      <c r="Z19" s="237"/>
      <c r="AA19" s="238">
        <f t="shared" si="0"/>
        <v>336000</v>
      </c>
    </row>
    <row r="20" spans="1:27" s="9" customFormat="1" ht="12.75" customHeight="1" x14ac:dyDescent="0.25">
      <c r="A20" s="75" t="s">
        <v>11</v>
      </c>
      <c r="B20" s="213">
        <f>'(A) Budget Summary'!C21</f>
        <v>131345346</v>
      </c>
      <c r="C20" s="80"/>
      <c r="D20" s="214">
        <v>-7865600</v>
      </c>
      <c r="E20" s="214"/>
      <c r="F20" s="214">
        <v>-909550</v>
      </c>
      <c r="G20" s="214"/>
      <c r="H20" s="215">
        <f t="shared" si="1"/>
        <v>122570196</v>
      </c>
      <c r="I20" s="214"/>
      <c r="J20" s="77"/>
      <c r="K20" s="77"/>
      <c r="L20" s="77"/>
      <c r="M20" s="77">
        <v>-190300</v>
      </c>
      <c r="N20" s="77"/>
      <c r="O20" s="77"/>
      <c r="P20" s="77"/>
      <c r="Q20" s="77"/>
      <c r="R20" s="213">
        <f t="shared" si="2"/>
        <v>-8965450</v>
      </c>
      <c r="S20" s="77"/>
      <c r="T20" s="213">
        <f t="shared" si="3"/>
        <v>122379896</v>
      </c>
      <c r="V20" s="74"/>
      <c r="W20" s="236">
        <v>1066000</v>
      </c>
      <c r="X20" s="237">
        <v>307000</v>
      </c>
      <c r="Y20" s="237">
        <v>0</v>
      </c>
      <c r="Z20" s="237"/>
      <c r="AA20" s="238">
        <f t="shared" si="0"/>
        <v>1373000</v>
      </c>
    </row>
    <row r="21" spans="1:27" s="9" customFormat="1" ht="12.75" customHeight="1" x14ac:dyDescent="0.25">
      <c r="A21" s="75" t="s">
        <v>12</v>
      </c>
      <c r="B21" s="213">
        <f>'(A) Budget Summary'!C22</f>
        <v>96644062</v>
      </c>
      <c r="C21" s="80"/>
      <c r="D21" s="214">
        <v>-4918100</v>
      </c>
      <c r="E21" s="214"/>
      <c r="F21" s="214">
        <v>-640420</v>
      </c>
      <c r="G21" s="214"/>
      <c r="H21" s="215">
        <f t="shared" si="1"/>
        <v>91085542</v>
      </c>
      <c r="I21" s="214"/>
      <c r="J21" s="77"/>
      <c r="K21" s="77"/>
      <c r="L21" s="77"/>
      <c r="M21" s="77">
        <v>-101500</v>
      </c>
      <c r="N21" s="77"/>
      <c r="O21" s="77"/>
      <c r="P21" s="77"/>
      <c r="Q21" s="77"/>
      <c r="R21" s="213">
        <f t="shared" si="2"/>
        <v>-5660020</v>
      </c>
      <c r="S21" s="77"/>
      <c r="T21" s="213">
        <f t="shared" si="3"/>
        <v>90984042</v>
      </c>
      <c r="V21" s="74"/>
      <c r="W21" s="236">
        <v>742000</v>
      </c>
      <c r="X21" s="237">
        <v>246000</v>
      </c>
      <c r="Y21" s="237">
        <v>0</v>
      </c>
      <c r="Z21" s="237"/>
      <c r="AA21" s="238">
        <f t="shared" si="0"/>
        <v>988000</v>
      </c>
    </row>
    <row r="22" spans="1:27" s="9" customFormat="1" ht="12.75" customHeight="1" x14ac:dyDescent="0.25">
      <c r="A22" s="75" t="s">
        <v>13</v>
      </c>
      <c r="B22" s="213">
        <f>'(A) Budget Summary'!C23</f>
        <v>107426677</v>
      </c>
      <c r="C22" s="80"/>
      <c r="D22" s="214">
        <v>-5857300</v>
      </c>
      <c r="E22" s="214"/>
      <c r="F22" s="214">
        <v>-729040</v>
      </c>
      <c r="G22" s="214"/>
      <c r="H22" s="215">
        <f t="shared" si="1"/>
        <v>100840337</v>
      </c>
      <c r="I22" s="214"/>
      <c r="J22" s="77"/>
      <c r="K22" s="77"/>
      <c r="L22" s="77"/>
      <c r="M22" s="77">
        <v>-137900</v>
      </c>
      <c r="N22" s="77"/>
      <c r="O22" s="77"/>
      <c r="P22" s="77"/>
      <c r="Q22" s="77"/>
      <c r="R22" s="213">
        <f t="shared" si="2"/>
        <v>-6724240</v>
      </c>
      <c r="S22" s="77"/>
      <c r="T22" s="213">
        <f t="shared" si="3"/>
        <v>100702437</v>
      </c>
      <c r="V22" s="74"/>
      <c r="W22" s="236">
        <v>895000</v>
      </c>
      <c r="X22" s="237">
        <v>242000</v>
      </c>
      <c r="Y22" s="237">
        <v>0</v>
      </c>
      <c r="Z22" s="237"/>
      <c r="AA22" s="238">
        <f t="shared" si="0"/>
        <v>1137000</v>
      </c>
    </row>
    <row r="23" spans="1:27" s="9" customFormat="1" ht="12.75" customHeight="1" x14ac:dyDescent="0.25">
      <c r="A23" s="75" t="s">
        <v>14</v>
      </c>
      <c r="B23" s="213">
        <f>'(A) Budget Summary'!C24</f>
        <v>75776878</v>
      </c>
      <c r="C23" s="80"/>
      <c r="D23" s="214">
        <v>-3819000</v>
      </c>
      <c r="E23" s="214"/>
      <c r="F23" s="214">
        <v>-447570</v>
      </c>
      <c r="G23" s="214"/>
      <c r="H23" s="215">
        <f t="shared" si="1"/>
        <v>71510308</v>
      </c>
      <c r="I23" s="214"/>
      <c r="J23" s="77"/>
      <c r="K23" s="77"/>
      <c r="L23" s="77"/>
      <c r="M23" s="77">
        <v>-96500</v>
      </c>
      <c r="N23" s="77"/>
      <c r="O23" s="77"/>
      <c r="P23" s="77"/>
      <c r="Q23" s="77"/>
      <c r="R23" s="213">
        <f t="shared" si="2"/>
        <v>-4363070</v>
      </c>
      <c r="S23" s="77"/>
      <c r="T23" s="213">
        <f t="shared" si="3"/>
        <v>71413808</v>
      </c>
      <c r="V23" s="74"/>
      <c r="W23" s="236">
        <v>575000</v>
      </c>
      <c r="X23" s="237">
        <v>188000</v>
      </c>
      <c r="Y23" s="237">
        <v>0</v>
      </c>
      <c r="Z23" s="237"/>
      <c r="AA23" s="238">
        <f t="shared" si="0"/>
        <v>763000</v>
      </c>
    </row>
    <row r="24" spans="1:27" s="9" customFormat="1" ht="12.75" customHeight="1" x14ac:dyDescent="0.25">
      <c r="A24" s="75" t="s">
        <v>15</v>
      </c>
      <c r="B24" s="213">
        <f>'(A) Budget Summary'!C25</f>
        <v>133941246</v>
      </c>
      <c r="C24" s="80"/>
      <c r="D24" s="214">
        <v>-7859700</v>
      </c>
      <c r="E24" s="214"/>
      <c r="F24" s="214">
        <v>-942950</v>
      </c>
      <c r="G24" s="214"/>
      <c r="H24" s="215">
        <f t="shared" si="1"/>
        <v>125138596</v>
      </c>
      <c r="I24" s="214"/>
      <c r="J24" s="77"/>
      <c r="K24" s="77"/>
      <c r="L24" s="77"/>
      <c r="M24" s="77">
        <v>-175600</v>
      </c>
      <c r="N24" s="77"/>
      <c r="O24" s="77"/>
      <c r="P24" s="77"/>
      <c r="Q24" s="77"/>
      <c r="R24" s="213">
        <f t="shared" si="2"/>
        <v>-8978250</v>
      </c>
      <c r="S24" s="77"/>
      <c r="T24" s="213">
        <f t="shared" si="3"/>
        <v>124962996</v>
      </c>
      <c r="V24" s="74"/>
      <c r="W24" s="236">
        <v>1231000</v>
      </c>
      <c r="X24" s="237">
        <v>374000</v>
      </c>
      <c r="Y24" s="237">
        <v>0</v>
      </c>
      <c r="Z24" s="237"/>
      <c r="AA24" s="238">
        <f t="shared" si="0"/>
        <v>1605000</v>
      </c>
    </row>
    <row r="25" spans="1:27" s="9" customFormat="1" ht="12.75" customHeight="1" x14ac:dyDescent="0.25">
      <c r="A25" s="75" t="s">
        <v>16</v>
      </c>
      <c r="B25" s="213">
        <f>'(A) Budget Summary'!C26</f>
        <v>111787439</v>
      </c>
      <c r="C25" s="80"/>
      <c r="D25" s="214">
        <v>-6760000</v>
      </c>
      <c r="E25" s="214"/>
      <c r="F25" s="214">
        <v>-833880</v>
      </c>
      <c r="G25" s="214"/>
      <c r="H25" s="215">
        <f t="shared" si="1"/>
        <v>104193559</v>
      </c>
      <c r="I25" s="214"/>
      <c r="J25" s="77"/>
      <c r="K25" s="77"/>
      <c r="L25" s="77"/>
      <c r="M25" s="77">
        <v>-162600</v>
      </c>
      <c r="N25" s="77"/>
      <c r="O25" s="77"/>
      <c r="P25" s="77"/>
      <c r="Q25" s="77"/>
      <c r="R25" s="213">
        <f t="shared" si="2"/>
        <v>-7756480</v>
      </c>
      <c r="S25" s="77"/>
      <c r="T25" s="213">
        <f t="shared" si="3"/>
        <v>104030959</v>
      </c>
      <c r="V25" s="74"/>
      <c r="W25" s="236">
        <v>998000</v>
      </c>
      <c r="X25" s="237">
        <v>267000</v>
      </c>
      <c r="Y25" s="237">
        <v>0</v>
      </c>
      <c r="Z25" s="237"/>
      <c r="AA25" s="238">
        <f t="shared" si="0"/>
        <v>1265000</v>
      </c>
    </row>
    <row r="26" spans="1:27" s="9" customFormat="1" ht="12.75" customHeight="1" x14ac:dyDescent="0.25">
      <c r="A26" s="75" t="s">
        <v>17</v>
      </c>
      <c r="B26" s="213">
        <f>'(A) Budget Summary'!C27</f>
        <v>101113122</v>
      </c>
      <c r="C26" s="80"/>
      <c r="D26" s="214">
        <v>-6466600</v>
      </c>
      <c r="E26" s="214"/>
      <c r="F26" s="214">
        <v>-821440</v>
      </c>
      <c r="G26" s="214"/>
      <c r="H26" s="215">
        <f t="shared" si="1"/>
        <v>93825082</v>
      </c>
      <c r="I26" s="214"/>
      <c r="J26" s="77"/>
      <c r="K26" s="77"/>
      <c r="L26" s="77"/>
      <c r="M26" s="77">
        <v>-151100</v>
      </c>
      <c r="N26" s="77"/>
      <c r="O26" s="77"/>
      <c r="P26" s="77"/>
      <c r="Q26" s="77"/>
      <c r="R26" s="213">
        <f t="shared" si="2"/>
        <v>-7439140</v>
      </c>
      <c r="S26" s="77"/>
      <c r="T26" s="213">
        <f t="shared" si="3"/>
        <v>93673982</v>
      </c>
      <c r="V26" s="74"/>
      <c r="W26" s="236">
        <v>956000</v>
      </c>
      <c r="X26" s="237">
        <v>327000</v>
      </c>
      <c r="Y26" s="237">
        <v>62000</v>
      </c>
      <c r="Z26" s="237"/>
      <c r="AA26" s="238">
        <f t="shared" si="0"/>
        <v>1345000</v>
      </c>
    </row>
    <row r="27" spans="1:27" s="9" customFormat="1" ht="12.75" customHeight="1" x14ac:dyDescent="0.25">
      <c r="A27" s="75" t="s">
        <v>18</v>
      </c>
      <c r="B27" s="213">
        <f>'(A) Budget Summary'!C28</f>
        <v>89543438</v>
      </c>
      <c r="C27" s="80"/>
      <c r="D27" s="214">
        <v>-5259900</v>
      </c>
      <c r="E27" s="214"/>
      <c r="F27" s="214">
        <v>-641770</v>
      </c>
      <c r="G27" s="214"/>
      <c r="H27" s="215">
        <f t="shared" si="1"/>
        <v>83641768</v>
      </c>
      <c r="I27" s="214"/>
      <c r="J27" s="77"/>
      <c r="K27" s="77"/>
      <c r="L27" s="77"/>
      <c r="M27" s="77">
        <v>-116400</v>
      </c>
      <c r="N27" s="77"/>
      <c r="O27" s="77"/>
      <c r="P27" s="77"/>
      <c r="Q27" s="77"/>
      <c r="R27" s="213">
        <f t="shared" si="2"/>
        <v>-6018070</v>
      </c>
      <c r="S27" s="77"/>
      <c r="T27" s="213">
        <f t="shared" si="3"/>
        <v>83525368</v>
      </c>
      <c r="V27" s="74"/>
      <c r="W27" s="236">
        <v>872000</v>
      </c>
      <c r="X27" s="237">
        <v>294000</v>
      </c>
      <c r="Y27" s="237">
        <v>1887000</v>
      </c>
      <c r="Z27" s="237"/>
      <c r="AA27" s="238">
        <f t="shared" si="0"/>
        <v>3053000</v>
      </c>
    </row>
    <row r="28" spans="1:27" s="9" customFormat="1" ht="12.75" customHeight="1" x14ac:dyDescent="0.25">
      <c r="A28" s="75" t="s">
        <v>19</v>
      </c>
      <c r="B28" s="213">
        <f>'(A) Budget Summary'!C29</f>
        <v>51833482</v>
      </c>
      <c r="C28" s="80"/>
      <c r="D28" s="214">
        <v>-2519100</v>
      </c>
      <c r="E28" s="214"/>
      <c r="F28" s="214">
        <v>-294330</v>
      </c>
      <c r="G28" s="214"/>
      <c r="H28" s="215">
        <f t="shared" si="1"/>
        <v>49020052</v>
      </c>
      <c r="I28" s="214"/>
      <c r="J28" s="77"/>
      <c r="K28" s="77"/>
      <c r="L28" s="77"/>
      <c r="M28" s="77">
        <v>-49800</v>
      </c>
      <c r="N28" s="77"/>
      <c r="O28" s="77"/>
      <c r="P28" s="77"/>
      <c r="Q28" s="77"/>
      <c r="R28" s="213">
        <f t="shared" si="2"/>
        <v>-2863230</v>
      </c>
      <c r="S28" s="77"/>
      <c r="T28" s="213">
        <f t="shared" si="3"/>
        <v>48970252</v>
      </c>
      <c r="V28" s="74"/>
      <c r="W28" s="236">
        <v>382000</v>
      </c>
      <c r="X28" s="237">
        <v>107000</v>
      </c>
      <c r="Y28" s="237">
        <v>0</v>
      </c>
      <c r="Z28" s="237"/>
      <c r="AA28" s="238">
        <f t="shared" si="0"/>
        <v>489000</v>
      </c>
    </row>
    <row r="29" spans="1:27" s="9" customFormat="1" ht="12.75" customHeight="1" x14ac:dyDescent="0.25">
      <c r="A29" s="75" t="s">
        <v>20</v>
      </c>
      <c r="B29" s="213">
        <f>'(A) Budget Summary'!C30</f>
        <v>46311423</v>
      </c>
      <c r="C29" s="80"/>
      <c r="D29" s="214">
        <v>-2294700</v>
      </c>
      <c r="E29" s="214"/>
      <c r="F29" s="214">
        <v>-294840</v>
      </c>
      <c r="G29" s="214"/>
      <c r="H29" s="215">
        <f t="shared" si="1"/>
        <v>43721883</v>
      </c>
      <c r="I29" s="214"/>
      <c r="J29" s="77"/>
      <c r="K29" s="77"/>
      <c r="L29" s="77"/>
      <c r="M29" s="77">
        <v>-43700</v>
      </c>
      <c r="N29" s="77"/>
      <c r="O29" s="77"/>
      <c r="P29" s="77"/>
      <c r="Q29" s="77"/>
      <c r="R29" s="213">
        <f t="shared" si="2"/>
        <v>-2633240</v>
      </c>
      <c r="S29" s="77"/>
      <c r="T29" s="213">
        <f t="shared" si="3"/>
        <v>43678183</v>
      </c>
      <c r="V29" s="74"/>
      <c r="W29" s="236">
        <v>356000</v>
      </c>
      <c r="X29" s="237">
        <v>109000</v>
      </c>
      <c r="Y29" s="237">
        <v>0</v>
      </c>
      <c r="Z29" s="237"/>
      <c r="AA29" s="238">
        <f t="shared" si="0"/>
        <v>465000</v>
      </c>
    </row>
    <row r="30" spans="1:27" s="9" customFormat="1" ht="12.75" customHeight="1" x14ac:dyDescent="0.25">
      <c r="A30" s="75" t="s">
        <v>21</v>
      </c>
      <c r="B30" s="213">
        <f>'(A) Budget Summary'!C31</f>
        <v>46552297</v>
      </c>
      <c r="C30" s="80"/>
      <c r="D30" s="214">
        <v>-2059900</v>
      </c>
      <c r="E30" s="214"/>
      <c r="F30" s="214">
        <v>-250350</v>
      </c>
      <c r="G30" s="214"/>
      <c r="H30" s="215">
        <f t="shared" si="1"/>
        <v>44242047</v>
      </c>
      <c r="I30" s="214"/>
      <c r="J30" s="77"/>
      <c r="K30" s="77"/>
      <c r="L30" s="77"/>
      <c r="M30" s="77">
        <v>-43100</v>
      </c>
      <c r="N30" s="77"/>
      <c r="O30" s="77"/>
      <c r="P30" s="77"/>
      <c r="Q30" s="77"/>
      <c r="R30" s="213">
        <f t="shared" si="2"/>
        <v>-2353350</v>
      </c>
      <c r="S30" s="77"/>
      <c r="T30" s="213">
        <f t="shared" si="3"/>
        <v>44198947</v>
      </c>
      <c r="V30" s="74"/>
      <c r="W30" s="236">
        <v>344000</v>
      </c>
      <c r="X30" s="237">
        <v>112000</v>
      </c>
      <c r="Y30" s="237">
        <v>0</v>
      </c>
      <c r="Z30" s="237"/>
      <c r="AA30" s="238">
        <f t="shared" si="0"/>
        <v>456000</v>
      </c>
    </row>
    <row r="31" spans="1:27" s="9" customFormat="1" ht="7.5" customHeight="1" x14ac:dyDescent="0.25">
      <c r="A31" s="75"/>
      <c r="B31" s="213"/>
      <c r="C31" s="80"/>
      <c r="D31" s="80"/>
      <c r="E31" s="80"/>
      <c r="F31" s="80"/>
      <c r="G31" s="80"/>
      <c r="H31" s="213"/>
      <c r="I31" s="80"/>
      <c r="J31" s="77"/>
      <c r="K31" s="77"/>
      <c r="L31" s="77"/>
      <c r="M31" s="77"/>
      <c r="N31" s="77"/>
      <c r="O31" s="77"/>
      <c r="P31" s="77"/>
      <c r="Q31" s="77"/>
      <c r="R31" s="213"/>
      <c r="S31" s="77"/>
      <c r="T31" s="213"/>
      <c r="V31" s="233"/>
      <c r="W31" s="236"/>
      <c r="X31" s="237"/>
      <c r="Y31" s="237"/>
      <c r="Z31" s="237"/>
      <c r="AA31" s="238"/>
    </row>
    <row r="32" spans="1:27" s="13" customFormat="1" ht="15" customHeight="1" x14ac:dyDescent="0.25">
      <c r="A32" s="217" t="s">
        <v>22</v>
      </c>
      <c r="B32" s="218">
        <f>SUM(B8:B30)</f>
        <v>1872388736.1599998</v>
      </c>
      <c r="C32" s="219"/>
      <c r="D32" s="219">
        <f>SUM(D8:D31)</f>
        <v>-100000000</v>
      </c>
      <c r="E32" s="219"/>
      <c r="F32" s="219">
        <f>SUM(F8:F31)</f>
        <v>-12118070</v>
      </c>
      <c r="G32" s="219"/>
      <c r="H32" s="218">
        <f>SUM(H8:H31)</f>
        <v>1760270666.1599998</v>
      </c>
      <c r="I32" s="219"/>
      <c r="J32" s="219">
        <f>SUM(J8:J30)</f>
        <v>2372800</v>
      </c>
      <c r="K32" s="219"/>
      <c r="L32" s="219"/>
      <c r="M32" s="219">
        <f t="shared" ref="M32" si="4">SUM(M8:M30)</f>
        <v>-2217000</v>
      </c>
      <c r="N32" s="219"/>
      <c r="O32" s="219">
        <f>SUM(O8:O31)</f>
        <v>0</v>
      </c>
      <c r="P32" s="219"/>
      <c r="Q32" s="219"/>
      <c r="R32" s="218">
        <f>SUM(R8:R31)</f>
        <v>-111962270</v>
      </c>
      <c r="S32" s="219"/>
      <c r="T32" s="218">
        <f>SUM(T8:T31)</f>
        <v>1760426466.1599998</v>
      </c>
      <c r="V32" s="242"/>
      <c r="W32" s="243">
        <f>SUM(W8:W31)</f>
        <v>14871000</v>
      </c>
      <c r="X32" s="243">
        <f>SUM(X8:X31)</f>
        <v>4600000</v>
      </c>
      <c r="Y32" s="243">
        <f>SUM(Y8:Y30)</f>
        <v>2754000</v>
      </c>
      <c r="Z32" s="243"/>
      <c r="AA32" s="328">
        <f>SUM(AA8:AA31)</f>
        <v>22225000</v>
      </c>
    </row>
    <row r="33" spans="1:27" s="9" customFormat="1" ht="9" customHeight="1" x14ac:dyDescent="0.25">
      <c r="A33" s="75"/>
      <c r="B33" s="213"/>
      <c r="C33" s="80"/>
      <c r="D33" s="80"/>
      <c r="E33" s="80"/>
      <c r="F33" s="80"/>
      <c r="G33" s="80"/>
      <c r="H33" s="213"/>
      <c r="I33" s="80"/>
      <c r="J33" s="77"/>
      <c r="K33" s="77"/>
      <c r="L33" s="77"/>
      <c r="M33" s="77"/>
      <c r="N33" s="77"/>
      <c r="O33" s="77"/>
      <c r="P33" s="77"/>
      <c r="Q33" s="77"/>
      <c r="R33" s="213"/>
      <c r="S33" s="77"/>
      <c r="T33" s="213"/>
      <c r="V33" s="233"/>
      <c r="W33" s="236"/>
      <c r="X33" s="237"/>
      <c r="Y33" s="237"/>
      <c r="Z33" s="237"/>
      <c r="AA33" s="238"/>
    </row>
    <row r="34" spans="1:27" s="9" customFormat="1" ht="12.75" customHeight="1" x14ac:dyDescent="0.25">
      <c r="A34" s="75" t="s">
        <v>23</v>
      </c>
      <c r="B34" s="213">
        <f>'(A) Budget Summary'!C35</f>
        <v>64433802</v>
      </c>
      <c r="C34" s="80"/>
      <c r="D34" s="214">
        <v>0</v>
      </c>
      <c r="E34" s="214"/>
      <c r="F34" s="220">
        <v>-220113</v>
      </c>
      <c r="G34" s="214"/>
      <c r="H34" s="215">
        <f>B34+D34+F34</f>
        <v>64213689</v>
      </c>
      <c r="I34" s="214"/>
      <c r="J34" s="77">
        <v>0</v>
      </c>
      <c r="K34" s="77"/>
      <c r="L34" s="77"/>
      <c r="M34" s="77">
        <v>0</v>
      </c>
      <c r="N34" s="77"/>
      <c r="O34" s="77" t="e">
        <f>ROUND((#REF!*7305)/100,0)*100</f>
        <v>#REF!</v>
      </c>
      <c r="P34" s="77"/>
      <c r="Q34" s="77"/>
      <c r="R34" s="213">
        <f t="shared" ref="R34:R40" si="5">D34+F34+J34+M34</f>
        <v>-220113</v>
      </c>
      <c r="S34" s="77"/>
      <c r="T34" s="213">
        <f t="shared" ref="T34:T40" si="6">B34+R34</f>
        <v>64213689</v>
      </c>
      <c r="V34" s="233"/>
      <c r="W34" s="236">
        <v>215000</v>
      </c>
      <c r="X34" s="237">
        <v>0</v>
      </c>
      <c r="Y34" s="237">
        <v>0</v>
      </c>
      <c r="Z34" s="237"/>
      <c r="AA34" s="238">
        <f t="shared" ref="AA34:AA40" si="7">SUM(W34:Z34)</f>
        <v>215000</v>
      </c>
    </row>
    <row r="35" spans="1:27" s="9" customFormat="1" ht="12.75" customHeight="1" x14ac:dyDescent="0.25">
      <c r="A35" s="75" t="s">
        <v>29</v>
      </c>
      <c r="B35" s="213">
        <f>'(A) Budget Summary'!C36</f>
        <v>981735</v>
      </c>
      <c r="C35" s="80"/>
      <c r="D35" s="214">
        <v>0</v>
      </c>
      <c r="E35" s="75"/>
      <c r="F35" s="214">
        <v>0</v>
      </c>
      <c r="G35" s="75"/>
      <c r="H35" s="215">
        <f t="shared" ref="H35:H40" si="8">B35+D35+F35</f>
        <v>981735</v>
      </c>
      <c r="I35" s="75"/>
      <c r="J35" s="77">
        <v>0</v>
      </c>
      <c r="K35" s="77"/>
      <c r="L35" s="77"/>
      <c r="M35" s="77">
        <v>0</v>
      </c>
      <c r="N35" s="77"/>
      <c r="O35" s="77"/>
      <c r="P35" s="77"/>
      <c r="Q35" s="77"/>
      <c r="R35" s="213">
        <f t="shared" si="5"/>
        <v>0</v>
      </c>
      <c r="S35" s="77"/>
      <c r="T35" s="213">
        <f t="shared" si="6"/>
        <v>981735</v>
      </c>
      <c r="V35" s="233"/>
      <c r="W35" s="236">
        <v>0</v>
      </c>
      <c r="X35" s="237">
        <v>0</v>
      </c>
      <c r="Y35" s="237">
        <v>0</v>
      </c>
      <c r="Z35" s="237"/>
      <c r="AA35" s="238">
        <f t="shared" si="7"/>
        <v>0</v>
      </c>
    </row>
    <row r="36" spans="1:27" s="9" customFormat="1" ht="12.75" customHeight="1" x14ac:dyDescent="0.25">
      <c r="A36" s="75" t="s">
        <v>24</v>
      </c>
      <c r="B36" s="213">
        <f>'(A) Budget Summary'!C37</f>
        <v>2269496</v>
      </c>
      <c r="C36" s="80"/>
      <c r="D36" s="214">
        <v>0</v>
      </c>
      <c r="E36" s="75"/>
      <c r="F36" s="214">
        <v>0</v>
      </c>
      <c r="G36" s="75"/>
      <c r="H36" s="215">
        <f t="shared" si="8"/>
        <v>2269496</v>
      </c>
      <c r="I36" s="75"/>
      <c r="J36" s="77">
        <v>0</v>
      </c>
      <c r="K36" s="77"/>
      <c r="L36" s="77"/>
      <c r="M36" s="77">
        <v>0</v>
      </c>
      <c r="N36" s="77"/>
      <c r="O36" s="77"/>
      <c r="P36" s="77"/>
      <c r="Q36" s="77"/>
      <c r="R36" s="213">
        <f t="shared" si="5"/>
        <v>0</v>
      </c>
      <c r="S36" s="77"/>
      <c r="T36" s="213">
        <f t="shared" si="6"/>
        <v>2269496</v>
      </c>
      <c r="V36" s="233"/>
      <c r="W36" s="236">
        <v>0</v>
      </c>
      <c r="X36" s="237">
        <v>0</v>
      </c>
      <c r="Y36" s="237">
        <v>0</v>
      </c>
      <c r="Z36" s="237"/>
      <c r="AA36" s="238">
        <f t="shared" si="7"/>
        <v>0</v>
      </c>
    </row>
    <row r="37" spans="1:27" s="9" customFormat="1" ht="12.75" customHeight="1" x14ac:dyDescent="0.25">
      <c r="A37" s="75" t="s">
        <v>25</v>
      </c>
      <c r="B37" s="213">
        <f>'(A) Budget Summary'!C38</f>
        <v>57800</v>
      </c>
      <c r="C37" s="80"/>
      <c r="D37" s="214">
        <v>0</v>
      </c>
      <c r="E37" s="75"/>
      <c r="F37" s="214">
        <v>0</v>
      </c>
      <c r="G37" s="75"/>
      <c r="H37" s="215">
        <f t="shared" si="8"/>
        <v>57800</v>
      </c>
      <c r="I37" s="75"/>
      <c r="J37" s="77">
        <v>0</v>
      </c>
      <c r="K37" s="77"/>
      <c r="L37" s="77"/>
      <c r="M37" s="77">
        <v>0</v>
      </c>
      <c r="N37" s="77"/>
      <c r="O37" s="77" t="e">
        <f>ROUND((#REF!*7305)/100,0)*100</f>
        <v>#REF!</v>
      </c>
      <c r="P37" s="77"/>
      <c r="Q37" s="77"/>
      <c r="R37" s="213">
        <f t="shared" si="5"/>
        <v>0</v>
      </c>
      <c r="S37" s="77"/>
      <c r="T37" s="213">
        <f t="shared" si="6"/>
        <v>57800</v>
      </c>
      <c r="V37" s="233"/>
      <c r="W37" s="236">
        <v>0</v>
      </c>
      <c r="X37" s="237">
        <v>0</v>
      </c>
      <c r="Y37" s="237">
        <v>0</v>
      </c>
      <c r="Z37" s="237"/>
      <c r="AA37" s="238">
        <f t="shared" si="7"/>
        <v>0</v>
      </c>
    </row>
    <row r="38" spans="1:27" s="9" customFormat="1" ht="12.75" customHeight="1" x14ac:dyDescent="0.25">
      <c r="A38" s="75" t="s">
        <v>26</v>
      </c>
      <c r="B38" s="213">
        <f>'(A) Budget Summary'!C39</f>
        <v>201141431</v>
      </c>
      <c r="C38" s="80"/>
      <c r="D38" s="214">
        <v>0</v>
      </c>
      <c r="E38" s="214"/>
      <c r="F38" s="214">
        <f>-26182880</f>
        <v>-26182880</v>
      </c>
      <c r="G38" s="214"/>
      <c r="H38" s="215">
        <f t="shared" si="8"/>
        <v>174958551</v>
      </c>
      <c r="I38" s="214"/>
      <c r="J38" s="77">
        <f>-50000+5545000+1096000-1648100-724700</f>
        <v>4218200</v>
      </c>
      <c r="K38" s="280">
        <v>2</v>
      </c>
      <c r="L38" s="221"/>
      <c r="M38" s="77">
        <f>2217000+1310000</f>
        <v>3527000</v>
      </c>
      <c r="N38" s="77"/>
      <c r="O38" s="77"/>
      <c r="P38" s="77"/>
      <c r="Q38" s="77"/>
      <c r="R38" s="213">
        <f t="shared" si="5"/>
        <v>-18437680</v>
      </c>
      <c r="S38" s="77"/>
      <c r="T38" s="213">
        <f t="shared" si="6"/>
        <v>182703751</v>
      </c>
      <c r="V38" s="233"/>
      <c r="W38" s="236">
        <v>0</v>
      </c>
      <c r="X38" s="237">
        <v>0</v>
      </c>
      <c r="Y38" s="237">
        <v>0</v>
      </c>
      <c r="Z38" s="237"/>
      <c r="AA38" s="238">
        <f t="shared" si="7"/>
        <v>0</v>
      </c>
    </row>
    <row r="39" spans="1:27" s="9" customFormat="1" ht="12.75" customHeight="1" x14ac:dyDescent="0.25">
      <c r="A39" s="75" t="s">
        <v>123</v>
      </c>
      <c r="B39" s="213">
        <f>'(A) Budget Summary'!C40</f>
        <v>0</v>
      </c>
      <c r="C39" s="80"/>
      <c r="D39" s="214">
        <v>0</v>
      </c>
      <c r="E39" s="214"/>
      <c r="F39" s="214">
        <v>0</v>
      </c>
      <c r="G39" s="214"/>
      <c r="H39" s="215">
        <f t="shared" si="8"/>
        <v>0</v>
      </c>
      <c r="I39" s="214"/>
      <c r="J39" s="77">
        <v>0</v>
      </c>
      <c r="K39" s="280"/>
      <c r="L39" s="221"/>
      <c r="M39" s="77">
        <v>0</v>
      </c>
      <c r="N39" s="77"/>
      <c r="O39" s="77"/>
      <c r="P39" s="77"/>
      <c r="Q39" s="77"/>
      <c r="R39" s="213">
        <f t="shared" si="5"/>
        <v>0</v>
      </c>
      <c r="S39" s="77"/>
      <c r="T39" s="213">
        <f t="shared" si="6"/>
        <v>0</v>
      </c>
      <c r="V39" s="233"/>
      <c r="W39" s="236">
        <v>0</v>
      </c>
      <c r="X39" s="237">
        <v>0</v>
      </c>
      <c r="Y39" s="237">
        <v>0</v>
      </c>
      <c r="Z39" s="237"/>
      <c r="AA39" s="238">
        <f t="shared" si="7"/>
        <v>0</v>
      </c>
    </row>
    <row r="40" spans="1:27" s="9" customFormat="1" ht="12.75" customHeight="1" x14ac:dyDescent="0.25">
      <c r="A40" s="75" t="s">
        <v>124</v>
      </c>
      <c r="B40" s="213">
        <f>'(A) Budget Summary'!C41</f>
        <v>0</v>
      </c>
      <c r="C40" s="80"/>
      <c r="D40" s="214">
        <v>0</v>
      </c>
      <c r="E40" s="214"/>
      <c r="F40" s="214">
        <v>0</v>
      </c>
      <c r="G40" s="214"/>
      <c r="H40" s="215">
        <f t="shared" si="8"/>
        <v>0</v>
      </c>
      <c r="I40" s="214"/>
      <c r="J40" s="77">
        <v>189775000</v>
      </c>
      <c r="K40" s="280">
        <v>3</v>
      </c>
      <c r="L40" s="221"/>
      <c r="M40" s="77">
        <f>(('(A) Budget Summary'!E41+'(A) Budget Summary'!F41)/('(A) Budget Summary'!$E$33+'(A) Budget Summary'!$F$33))*-2217000</f>
        <v>0</v>
      </c>
      <c r="N40" s="77"/>
      <c r="O40" s="77"/>
      <c r="P40" s="77"/>
      <c r="Q40" s="77"/>
      <c r="R40" s="213">
        <f t="shared" si="5"/>
        <v>189775000</v>
      </c>
      <c r="S40" s="77"/>
      <c r="T40" s="213">
        <f t="shared" si="6"/>
        <v>189775000</v>
      </c>
      <c r="V40" s="233"/>
      <c r="W40" s="236">
        <v>0</v>
      </c>
      <c r="X40" s="237">
        <v>0</v>
      </c>
      <c r="Y40" s="237">
        <v>0</v>
      </c>
      <c r="Z40" s="237"/>
      <c r="AA40" s="238">
        <f t="shared" si="7"/>
        <v>0</v>
      </c>
    </row>
    <row r="41" spans="1:27" s="9" customFormat="1" ht="9" customHeight="1" x14ac:dyDescent="0.25">
      <c r="A41" s="75"/>
      <c r="B41" s="213"/>
      <c r="C41" s="80"/>
      <c r="D41" s="80"/>
      <c r="E41" s="80"/>
      <c r="F41" s="80"/>
      <c r="G41" s="80"/>
      <c r="H41" s="213"/>
      <c r="I41" s="80"/>
      <c r="J41" s="77"/>
      <c r="K41" s="77"/>
      <c r="L41" s="77"/>
      <c r="M41" s="77"/>
      <c r="N41" s="77"/>
      <c r="O41" s="77"/>
      <c r="P41" s="77"/>
      <c r="Q41" s="77"/>
      <c r="R41" s="213"/>
      <c r="S41" s="77"/>
      <c r="T41" s="213"/>
      <c r="V41" s="233"/>
      <c r="W41" s="246"/>
      <c r="X41" s="247"/>
      <c r="Y41" s="247"/>
      <c r="Z41" s="247"/>
      <c r="AA41" s="248"/>
    </row>
    <row r="42" spans="1:27" s="13" customFormat="1" ht="15" customHeight="1" thickBot="1" x14ac:dyDescent="0.3">
      <c r="A42" s="222" t="s">
        <v>27</v>
      </c>
      <c r="B42" s="223">
        <f>SUM(B32:B38)</f>
        <v>2141273000.1599998</v>
      </c>
      <c r="C42" s="224"/>
      <c r="D42" s="224">
        <f>SUM(D32:D38)</f>
        <v>-100000000</v>
      </c>
      <c r="E42" s="224"/>
      <c r="F42" s="224">
        <f>SUM(F32:F38)</f>
        <v>-38521063</v>
      </c>
      <c r="G42" s="224"/>
      <c r="H42" s="223">
        <f>SUM(H32:H38)</f>
        <v>2002751937.1599998</v>
      </c>
      <c r="I42" s="224"/>
      <c r="J42" s="224">
        <f>SUM(J32:J40)</f>
        <v>196366000</v>
      </c>
      <c r="K42" s="224"/>
      <c r="L42" s="224"/>
      <c r="M42" s="224">
        <f t="shared" ref="M42" si="9">SUM(M32:M38)</f>
        <v>1310000</v>
      </c>
      <c r="N42" s="224"/>
      <c r="O42" s="224" t="e">
        <f>O32+O34+O35+O36+O37+O38</f>
        <v>#REF!</v>
      </c>
      <c r="P42" s="224"/>
      <c r="Q42" s="224"/>
      <c r="R42" s="223">
        <f>SUM(R32:R40)</f>
        <v>59154937</v>
      </c>
      <c r="S42" s="224"/>
      <c r="T42" s="223">
        <f>SUM(T32:T40)</f>
        <v>2200427937.1599998</v>
      </c>
      <c r="V42" s="242"/>
      <c r="W42" s="252">
        <f>SUM(W32:W40)</f>
        <v>15086000</v>
      </c>
      <c r="X42" s="252">
        <f>SUM(X32:X40)</f>
        <v>4600000</v>
      </c>
      <c r="Y42" s="252">
        <f>SUM(Y32:Y40)</f>
        <v>2754000</v>
      </c>
      <c r="Z42" s="252"/>
      <c r="AA42" s="329">
        <f>SUM(AA32:AA40)</f>
        <v>22440000</v>
      </c>
    </row>
    <row r="43" spans="1:27" x14ac:dyDescent="0.25">
      <c r="Q43" s="81"/>
      <c r="R43" s="81"/>
      <c r="S43" s="81"/>
      <c r="T43" s="81"/>
      <c r="U43" s="81"/>
      <c r="V43" s="253"/>
      <c r="W43" s="254"/>
      <c r="X43" s="254"/>
      <c r="Y43" s="254"/>
      <c r="Z43" s="237"/>
      <c r="AA43" s="255"/>
    </row>
    <row r="44" spans="1:27" s="99" customFormat="1" ht="30" customHeight="1" x14ac:dyDescent="0.25">
      <c r="A44" s="425" t="s">
        <v>157</v>
      </c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W44" s="422" t="s">
        <v>133</v>
      </c>
      <c r="X44" s="422"/>
      <c r="Y44" s="422"/>
      <c r="Z44" s="422"/>
      <c r="AA44" s="422"/>
    </row>
    <row r="45" spans="1:27" s="99" customFormat="1" ht="15" customHeight="1" x14ac:dyDescent="0.25">
      <c r="A45" s="423" t="s">
        <v>189</v>
      </c>
      <c r="B45" s="423"/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101"/>
      <c r="W45" s="422" t="s">
        <v>134</v>
      </c>
      <c r="X45" s="422"/>
      <c r="Y45" s="422"/>
      <c r="Z45" s="422"/>
      <c r="AA45" s="422"/>
    </row>
    <row r="46" spans="1:27" s="99" customFormat="1" ht="15" customHeight="1" x14ac:dyDescent="0.25">
      <c r="A46" s="423" t="s">
        <v>136</v>
      </c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101"/>
    </row>
    <row r="47" spans="1:27" ht="12.75" customHeight="1" x14ac:dyDescent="0.25">
      <c r="A47" s="426" t="s">
        <v>188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2"/>
      <c r="W47" s="422"/>
      <c r="X47" s="422"/>
      <c r="Y47" s="422"/>
      <c r="Z47" s="179"/>
      <c r="AA47" s="179"/>
    </row>
  </sheetData>
  <mergeCells count="9">
    <mergeCell ref="W4:Y4"/>
    <mergeCell ref="V47:Y47"/>
    <mergeCell ref="A45:T45"/>
    <mergeCell ref="A46:T46"/>
    <mergeCell ref="L5:N5"/>
    <mergeCell ref="W45:AA45"/>
    <mergeCell ref="W44:AA44"/>
    <mergeCell ref="A44:U44"/>
    <mergeCell ref="A47:U47"/>
  </mergeCells>
  <phoneticPr fontId="0" type="noConversion"/>
  <pageMargins left="0.5" right="0.25" top="0.25" bottom="0.25" header="0.5" footer="0.5"/>
  <pageSetup paperSize="5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37" sqref="P37"/>
    </sheetView>
  </sheetViews>
  <sheetFormatPr defaultColWidth="10.77734375" defaultRowHeight="15.6" x14ac:dyDescent="0.3"/>
  <cols>
    <col min="1" max="1" width="26.77734375" style="181" customWidth="1"/>
    <col min="2" max="2" width="15.77734375" style="181" customWidth="1"/>
    <col min="3" max="3" width="1.77734375" style="181" customWidth="1"/>
    <col min="4" max="4" width="14.44140625" style="181" customWidth="1"/>
    <col min="5" max="5" width="4.33203125" style="181" customWidth="1"/>
    <col min="6" max="6" width="14.44140625" style="181" customWidth="1"/>
    <col min="7" max="7" width="1.77734375" style="181" customWidth="1"/>
    <col min="8" max="8" width="15.77734375" style="181" customWidth="1"/>
    <col min="9" max="9" width="4" style="181" customWidth="1"/>
    <col min="10" max="10" width="15.77734375" style="181" customWidth="1"/>
    <col min="11" max="11" width="1.77734375" style="181" customWidth="1"/>
    <col min="12" max="12" width="16.77734375" style="181" customWidth="1"/>
    <col min="13" max="13" width="1.77734375" style="181" customWidth="1"/>
    <col min="14" max="14" width="14.77734375" style="181" customWidth="1"/>
    <col min="15" max="15" width="2.33203125" style="181" customWidth="1"/>
    <col min="16" max="16" width="16.77734375" style="181" customWidth="1"/>
    <col min="17" max="17" width="1.77734375" style="181" customWidth="1"/>
    <col min="18" max="18" width="2.77734375" style="183" customWidth="1"/>
    <col min="19" max="19" width="9.109375" style="181" bestFit="1" customWidth="1"/>
    <col min="20" max="20" width="2.77734375" style="181" customWidth="1"/>
    <col min="21" max="21" width="2.33203125" style="181" customWidth="1"/>
    <col min="22" max="22" width="15.33203125" style="181" bestFit="1" customWidth="1"/>
    <col min="23" max="23" width="4.33203125" style="181" customWidth="1"/>
    <col min="24" max="24" width="15.33203125" style="181" customWidth="1"/>
    <col min="25" max="25" width="4.77734375" style="181" customWidth="1"/>
    <col min="26" max="26" width="16.77734375" style="184" customWidth="1"/>
    <col min="27" max="27" width="23.33203125" style="184" bestFit="1" customWidth="1"/>
    <col min="28" max="28" width="14.77734375" style="181" customWidth="1"/>
    <col min="29" max="29" width="14.6640625" style="181" customWidth="1"/>
    <col min="30" max="30" width="2" style="181" customWidth="1"/>
    <col min="31" max="31" width="17.44140625" style="181" customWidth="1"/>
    <col min="32" max="16384" width="10.77734375" style="181"/>
  </cols>
  <sheetData>
    <row r="1" spans="1:30" ht="16.8" x14ac:dyDescent="0.3">
      <c r="A1" s="180" t="s">
        <v>125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V1" s="182"/>
      <c r="W1" s="182"/>
      <c r="X1" s="182"/>
      <c r="Y1" s="183"/>
    </row>
    <row r="2" spans="1:30" ht="7.5" customHeight="1" x14ac:dyDescent="0.3">
      <c r="S2" s="186"/>
      <c r="T2" s="186"/>
      <c r="U2" s="186"/>
      <c r="V2" s="183"/>
      <c r="W2" s="183"/>
      <c r="X2" s="183"/>
      <c r="Y2" s="183"/>
      <c r="AB2" s="187"/>
      <c r="AC2" s="187"/>
      <c r="AD2" s="187"/>
    </row>
    <row r="3" spans="1:30" s="188" customFormat="1" ht="15.75" customHeight="1" x14ac:dyDescent="0.3">
      <c r="B3" s="188">
        <v>-1</v>
      </c>
      <c r="D3" s="114" t="s">
        <v>158</v>
      </c>
      <c r="E3" s="17"/>
      <c r="F3" s="114" t="s">
        <v>161</v>
      </c>
      <c r="H3" s="188">
        <v>-4</v>
      </c>
      <c r="J3" s="189">
        <v>-5</v>
      </c>
      <c r="K3" s="189"/>
      <c r="L3" s="189">
        <v>-6</v>
      </c>
      <c r="M3" s="190"/>
      <c r="N3" s="188">
        <v>-7</v>
      </c>
      <c r="O3" s="190"/>
      <c r="P3" s="188">
        <v>-8</v>
      </c>
      <c r="R3" s="189"/>
      <c r="S3" s="190">
        <v>-9</v>
      </c>
      <c r="V3" s="189">
        <v>-10</v>
      </c>
      <c r="W3" s="189"/>
      <c r="X3" s="114">
        <v>-11</v>
      </c>
      <c r="Y3" s="189"/>
      <c r="Z3" s="394">
        <v>-12</v>
      </c>
      <c r="AA3" s="191"/>
    </row>
    <row r="4" spans="1:30" ht="16.2" thickBot="1" x14ac:dyDescent="0.35">
      <c r="A4" s="192"/>
      <c r="B4" s="192"/>
      <c r="C4" s="192"/>
      <c r="D4" s="429" t="s">
        <v>154</v>
      </c>
      <c r="E4" s="429"/>
      <c r="F4" s="429"/>
      <c r="G4" s="192"/>
      <c r="H4" s="192"/>
      <c r="I4" s="192"/>
      <c r="J4" s="430" t="s">
        <v>153</v>
      </c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189"/>
      <c r="X4" s="187"/>
      <c r="Y4" s="187"/>
      <c r="Z4" s="187"/>
      <c r="AA4" s="187"/>
    </row>
    <row r="5" spans="1:30" s="257" customFormat="1" ht="58.8" x14ac:dyDescent="0.25">
      <c r="B5" s="379" t="s">
        <v>160</v>
      </c>
      <c r="D5" s="260" t="s">
        <v>70</v>
      </c>
      <c r="E5" s="260"/>
      <c r="F5" s="260" t="s">
        <v>159</v>
      </c>
      <c r="H5" s="379" t="s">
        <v>163</v>
      </c>
      <c r="I5" s="379"/>
      <c r="J5" s="350" t="s">
        <v>149</v>
      </c>
      <c r="K5" s="351"/>
      <c r="L5" s="362" t="s">
        <v>164</v>
      </c>
      <c r="M5" s="351"/>
      <c r="N5" s="352" t="s">
        <v>166</v>
      </c>
      <c r="O5" s="352"/>
      <c r="P5" s="352" t="s">
        <v>181</v>
      </c>
      <c r="Q5" s="352"/>
      <c r="R5" s="428" t="s">
        <v>171</v>
      </c>
      <c r="S5" s="428"/>
      <c r="T5" s="428"/>
      <c r="U5" s="354"/>
      <c r="V5" s="353" t="s">
        <v>153</v>
      </c>
      <c r="W5" s="386"/>
      <c r="X5" s="259" t="s">
        <v>174</v>
      </c>
      <c r="Y5" s="261"/>
      <c r="Z5" s="259" t="s">
        <v>173</v>
      </c>
      <c r="AA5" s="262"/>
    </row>
    <row r="6" spans="1:30" s="194" customFormat="1" ht="22.5" customHeight="1" x14ac:dyDescent="0.25">
      <c r="B6" s="380" t="s">
        <v>152</v>
      </c>
      <c r="D6" s="5" t="s">
        <v>140</v>
      </c>
      <c r="E6" s="162"/>
      <c r="F6" s="5" t="s">
        <v>135</v>
      </c>
      <c r="H6" s="174" t="s">
        <v>162</v>
      </c>
      <c r="J6" s="400" t="s">
        <v>150</v>
      </c>
      <c r="K6" s="334"/>
      <c r="L6" s="206" t="s">
        <v>165</v>
      </c>
      <c r="M6" s="334"/>
      <c r="N6" s="206" t="s">
        <v>131</v>
      </c>
      <c r="O6" s="206"/>
      <c r="P6" s="363" t="s">
        <v>167</v>
      </c>
      <c r="Q6" s="206"/>
      <c r="R6" s="427"/>
      <c r="S6" s="427"/>
      <c r="T6" s="427"/>
      <c r="U6" s="206"/>
      <c r="V6" s="401" t="s">
        <v>172</v>
      </c>
      <c r="W6" s="387"/>
      <c r="X6" s="376" t="s">
        <v>175</v>
      </c>
      <c r="Y6" s="195"/>
      <c r="Z6" s="376" t="s">
        <v>176</v>
      </c>
      <c r="AA6" s="207"/>
    </row>
    <row r="7" spans="1:30" ht="9" customHeight="1" x14ac:dyDescent="0.3">
      <c r="A7" s="192"/>
      <c r="B7" s="381"/>
      <c r="C7" s="192"/>
      <c r="D7" s="113"/>
      <c r="E7" s="113"/>
      <c r="F7" s="113"/>
      <c r="G7" s="192"/>
      <c r="H7" s="192"/>
      <c r="I7" s="192"/>
      <c r="J7" s="335"/>
      <c r="K7" s="336"/>
      <c r="L7" s="336"/>
      <c r="M7" s="336"/>
      <c r="N7" s="337"/>
      <c r="O7" s="337"/>
      <c r="P7" s="337"/>
      <c r="Q7" s="337"/>
      <c r="R7" s="337"/>
      <c r="S7" s="337"/>
      <c r="T7" s="337"/>
      <c r="U7" s="337"/>
      <c r="V7" s="330"/>
      <c r="W7" s="388"/>
      <c r="X7" s="197"/>
      <c r="Y7" s="196"/>
      <c r="Z7" s="197"/>
      <c r="AA7" s="196"/>
    </row>
    <row r="8" spans="1:30" s="198" customFormat="1" ht="12.75" customHeight="1" x14ac:dyDescent="0.3">
      <c r="A8" s="225" t="s">
        <v>0</v>
      </c>
      <c r="B8" s="382">
        <f>'(B) Base Bud Adj'!T8</f>
        <v>46376509</v>
      </c>
      <c r="C8" s="225"/>
      <c r="D8" s="212">
        <f>'(D) Tuition Revenue'!T8</f>
        <v>-1304000</v>
      </c>
      <c r="E8" s="212"/>
      <c r="F8" s="212">
        <f>'(E) SUG '!L8</f>
        <v>2206300</v>
      </c>
      <c r="G8" s="225"/>
      <c r="H8" s="225">
        <f>B8+D8+F8</f>
        <v>47278809</v>
      </c>
      <c r="I8" s="225"/>
      <c r="J8" s="338">
        <f>'(A) Budget Summary'!S9+'(A) Budget Summary'!T9</f>
        <v>46850004</v>
      </c>
      <c r="K8" s="339"/>
      <c r="L8" s="339">
        <f>H8+J8</f>
        <v>94128813</v>
      </c>
      <c r="M8" s="339"/>
      <c r="N8" s="340">
        <f>'(E) SUG '!I8</f>
        <v>18023600</v>
      </c>
      <c r="O8" s="340"/>
      <c r="P8" s="340">
        <f>L8-N8</f>
        <v>76105213</v>
      </c>
      <c r="Q8" s="340"/>
      <c r="R8" s="340"/>
      <c r="S8" s="355">
        <f>-ROUND(P8/$P$32,6)</f>
        <v>-2.0594999999999999E-2</v>
      </c>
      <c r="T8" s="356"/>
      <c r="U8" s="356"/>
      <c r="V8" s="331">
        <f>ROUND(S8*200000000/100,0)*100</f>
        <v>-4119000</v>
      </c>
      <c r="W8" s="389"/>
      <c r="X8" s="227">
        <f>D8+F8+V8</f>
        <v>-3216700</v>
      </c>
      <c r="Y8" s="226"/>
      <c r="Z8" s="227">
        <f>B8+X8</f>
        <v>43159809</v>
      </c>
      <c r="AA8" s="395"/>
    </row>
    <row r="9" spans="1:30" ht="12.75" customHeight="1" x14ac:dyDescent="0.3">
      <c r="A9" s="232" t="s">
        <v>1</v>
      </c>
      <c r="B9" s="244">
        <f>'(B) Base Bud Adj'!T9</f>
        <v>43900810</v>
      </c>
      <c r="C9" s="232"/>
      <c r="D9" s="216">
        <f>'(D) Tuition Revenue'!T9</f>
        <v>-605000</v>
      </c>
      <c r="E9" s="216"/>
      <c r="F9" s="216">
        <f>'(E) SUG '!L9</f>
        <v>489500</v>
      </c>
      <c r="G9" s="232"/>
      <c r="H9" s="232">
        <f>B9+D9+F9</f>
        <v>43785310</v>
      </c>
      <c r="I9" s="232"/>
      <c r="J9" s="341">
        <f>'(A) Budget Summary'!S10+'(A) Budget Summary'!T10</f>
        <v>22811190</v>
      </c>
      <c r="K9" s="342"/>
      <c r="L9" s="342">
        <f>H9+J9</f>
        <v>66596500</v>
      </c>
      <c r="M9" s="342"/>
      <c r="N9" s="343">
        <f>'(E) SUG '!I9</f>
        <v>6705200</v>
      </c>
      <c r="O9" s="343"/>
      <c r="P9" s="343">
        <f>L9-N9</f>
        <v>59891300</v>
      </c>
      <c r="Q9" s="343"/>
      <c r="R9" s="343"/>
      <c r="S9" s="355">
        <f>-ROUND(P9/$P$32,6)</f>
        <v>-1.6208E-2</v>
      </c>
      <c r="T9" s="357"/>
      <c r="U9" s="357"/>
      <c r="V9" s="332">
        <f>ROUND(S9*200000000/100,0)*100</f>
        <v>-3241600</v>
      </c>
      <c r="W9" s="390"/>
      <c r="X9" s="234">
        <f>D9+F9+V9</f>
        <v>-3357100</v>
      </c>
      <c r="Y9" s="233"/>
      <c r="Z9" s="234">
        <f>B9+X9</f>
        <v>40543710</v>
      </c>
      <c r="AA9" s="395"/>
    </row>
    <row r="10" spans="1:30" ht="12.75" customHeight="1" x14ac:dyDescent="0.3">
      <c r="A10" s="232" t="s">
        <v>2</v>
      </c>
      <c r="B10" s="244">
        <f>'(B) Base Bud Adj'!T10</f>
        <v>76668632</v>
      </c>
      <c r="C10" s="232"/>
      <c r="D10" s="216">
        <f>'(D) Tuition Revenue'!T10</f>
        <v>-2528000</v>
      </c>
      <c r="E10" s="216"/>
      <c r="F10" s="216">
        <f>'(E) SUG '!L10</f>
        <v>2217800</v>
      </c>
      <c r="G10" s="232"/>
      <c r="H10" s="232">
        <f t="shared" ref="H10:H30" si="0">B10+D10+F10</f>
        <v>76358432</v>
      </c>
      <c r="I10" s="232"/>
      <c r="J10" s="341">
        <f>'(A) Budget Summary'!S11+'(A) Budget Summary'!T11</f>
        <v>99322000</v>
      </c>
      <c r="K10" s="342"/>
      <c r="L10" s="342">
        <f t="shared" ref="L10:L30" si="1">H10+J10</f>
        <v>175680432</v>
      </c>
      <c r="M10" s="342"/>
      <c r="N10" s="343">
        <f>'(E) SUG '!I10</f>
        <v>24896600</v>
      </c>
      <c r="O10" s="343"/>
      <c r="P10" s="343">
        <f t="shared" ref="P10:P30" si="2">L10-N10</f>
        <v>150783832</v>
      </c>
      <c r="Q10" s="343"/>
      <c r="R10" s="343"/>
      <c r="S10" s="355">
        <f>-ROUND(P10/$P$32,6)+0.000001</f>
        <v>-4.0804E-2</v>
      </c>
      <c r="T10" s="357"/>
      <c r="U10" s="357"/>
      <c r="V10" s="332">
        <f t="shared" ref="V10:V30" si="3">ROUND(S10*200000000/100,0)*100</f>
        <v>-8160800</v>
      </c>
      <c r="W10" s="390"/>
      <c r="X10" s="234">
        <f t="shared" ref="X10:X30" si="4">D10+F10+V10</f>
        <v>-8471000</v>
      </c>
      <c r="Y10" s="233"/>
      <c r="Z10" s="234">
        <f t="shared" ref="Z10:Z30" si="5">B10+X10</f>
        <v>68197632</v>
      </c>
      <c r="AA10" s="395"/>
    </row>
    <row r="11" spans="1:30" ht="12.75" customHeight="1" x14ac:dyDescent="0.3">
      <c r="A11" s="232" t="s">
        <v>3</v>
      </c>
      <c r="B11" s="244">
        <f>'(B) Base Bud Adj'!T11</f>
        <v>56719852</v>
      </c>
      <c r="C11" s="232"/>
      <c r="D11" s="216">
        <f>'(D) Tuition Revenue'!T11</f>
        <v>-1954000</v>
      </c>
      <c r="E11" s="216"/>
      <c r="F11" s="216">
        <f>'(E) SUG '!L11</f>
        <v>2067200</v>
      </c>
      <c r="G11" s="232"/>
      <c r="H11" s="232">
        <f t="shared" si="0"/>
        <v>56833052</v>
      </c>
      <c r="I11" s="232"/>
      <c r="J11" s="341">
        <f>'(A) Budget Summary'!S12+'(A) Budget Summary'!T12</f>
        <v>69218742</v>
      </c>
      <c r="K11" s="342"/>
      <c r="L11" s="342">
        <f t="shared" si="1"/>
        <v>126051794</v>
      </c>
      <c r="M11" s="342"/>
      <c r="N11" s="343">
        <f>'(E) SUG '!I11</f>
        <v>30974200</v>
      </c>
      <c r="O11" s="343"/>
      <c r="P11" s="343">
        <f t="shared" si="2"/>
        <v>95077594</v>
      </c>
      <c r="Q11" s="343"/>
      <c r="R11" s="343"/>
      <c r="S11" s="355">
        <f>-ROUND(P11/$P$32,6)</f>
        <v>-2.5729999999999999E-2</v>
      </c>
      <c r="T11" s="357"/>
      <c r="U11" s="357"/>
      <c r="V11" s="332">
        <f t="shared" si="3"/>
        <v>-5146000</v>
      </c>
      <c r="W11" s="390"/>
      <c r="X11" s="234">
        <f t="shared" si="4"/>
        <v>-5032800</v>
      </c>
      <c r="Y11" s="233"/>
      <c r="Z11" s="234">
        <f t="shared" si="5"/>
        <v>51687052</v>
      </c>
      <c r="AA11" s="395"/>
    </row>
    <row r="12" spans="1:30" ht="12.75" customHeight="1" x14ac:dyDescent="0.3">
      <c r="A12" s="232" t="s">
        <v>28</v>
      </c>
      <c r="B12" s="244">
        <f>'(B) Base Bud Adj'!T12</f>
        <v>59733961</v>
      </c>
      <c r="C12" s="232"/>
      <c r="D12" s="216">
        <f>'(D) Tuition Revenue'!T12</f>
        <v>-2340000</v>
      </c>
      <c r="E12" s="216"/>
      <c r="F12" s="216">
        <f>'(E) SUG '!L12</f>
        <v>1425600</v>
      </c>
      <c r="G12" s="232"/>
      <c r="H12" s="232">
        <f t="shared" si="0"/>
        <v>58819561</v>
      </c>
      <c r="I12" s="232"/>
      <c r="J12" s="341">
        <f>'(A) Budget Summary'!S13+'(A) Budget Summary'!T13</f>
        <v>98871000</v>
      </c>
      <c r="K12" s="342"/>
      <c r="L12" s="342">
        <f t="shared" si="1"/>
        <v>157690561</v>
      </c>
      <c r="M12" s="342"/>
      <c r="N12" s="343">
        <f>'(E) SUG '!I12</f>
        <v>23351400</v>
      </c>
      <c r="O12" s="343"/>
      <c r="P12" s="343">
        <f t="shared" si="2"/>
        <v>134339161</v>
      </c>
      <c r="Q12" s="343"/>
      <c r="R12" s="343"/>
      <c r="S12" s="355">
        <f t="shared" ref="S12:S30" si="6">-ROUND(P12/$P$32,6)</f>
        <v>-3.6354999999999998E-2</v>
      </c>
      <c r="T12" s="357"/>
      <c r="U12" s="357"/>
      <c r="V12" s="332">
        <f t="shared" si="3"/>
        <v>-7271000</v>
      </c>
      <c r="W12" s="390"/>
      <c r="X12" s="234">
        <f t="shared" si="4"/>
        <v>-8185400</v>
      </c>
      <c r="Y12" s="233"/>
      <c r="Z12" s="234">
        <f t="shared" si="5"/>
        <v>51548561</v>
      </c>
      <c r="AA12" s="395"/>
    </row>
    <row r="13" spans="1:30" ht="12.75" customHeight="1" x14ac:dyDescent="0.3">
      <c r="A13" s="232" t="s">
        <v>4</v>
      </c>
      <c r="B13" s="244">
        <f>'(B) Base Bud Adj'!T13</f>
        <v>100107432</v>
      </c>
      <c r="C13" s="232"/>
      <c r="D13" s="216">
        <f>'(D) Tuition Revenue'!T13</f>
        <v>-3268000</v>
      </c>
      <c r="E13" s="216"/>
      <c r="F13" s="216">
        <f>'(E) SUG '!L13</f>
        <v>4207000</v>
      </c>
      <c r="G13" s="232"/>
      <c r="H13" s="232">
        <f t="shared" si="0"/>
        <v>101046432</v>
      </c>
      <c r="I13" s="232"/>
      <c r="J13" s="341">
        <f>'(A) Budget Summary'!S14+'(A) Budget Summary'!T14</f>
        <v>127476384</v>
      </c>
      <c r="K13" s="342"/>
      <c r="L13" s="342">
        <f t="shared" si="1"/>
        <v>228522816</v>
      </c>
      <c r="M13" s="342"/>
      <c r="N13" s="343">
        <f>'(E) SUG '!I13</f>
        <v>39142700</v>
      </c>
      <c r="O13" s="343"/>
      <c r="P13" s="343">
        <f t="shared" si="2"/>
        <v>189380116</v>
      </c>
      <c r="Q13" s="343"/>
      <c r="R13" s="343"/>
      <c r="S13" s="355">
        <f t="shared" si="6"/>
        <v>-5.1249999999999997E-2</v>
      </c>
      <c r="T13" s="357"/>
      <c r="U13" s="357"/>
      <c r="V13" s="332">
        <f t="shared" si="3"/>
        <v>-10250000</v>
      </c>
      <c r="W13" s="390"/>
      <c r="X13" s="234">
        <f t="shared" si="4"/>
        <v>-9311000</v>
      </c>
      <c r="Y13" s="233"/>
      <c r="Z13" s="234">
        <f t="shared" si="5"/>
        <v>90796432</v>
      </c>
      <c r="AA13" s="395"/>
    </row>
    <row r="14" spans="1:30" ht="12.75" customHeight="1" x14ac:dyDescent="0.3">
      <c r="A14" s="232" t="s">
        <v>5</v>
      </c>
      <c r="B14" s="244">
        <f>'(B) Base Bud Adj'!T14</f>
        <v>107607561</v>
      </c>
      <c r="C14" s="232"/>
      <c r="D14" s="216">
        <f>'(D) Tuition Revenue'!T14</f>
        <v>-5494000</v>
      </c>
      <c r="E14" s="216"/>
      <c r="F14" s="216">
        <f>'(E) SUG '!L14</f>
        <v>5497000</v>
      </c>
      <c r="G14" s="232"/>
      <c r="H14" s="232">
        <f t="shared" si="0"/>
        <v>107610561</v>
      </c>
      <c r="I14" s="232"/>
      <c r="J14" s="341">
        <f>'(A) Budget Summary'!S15+'(A) Budget Summary'!T15</f>
        <v>219881997</v>
      </c>
      <c r="K14" s="342"/>
      <c r="L14" s="342">
        <f t="shared" si="1"/>
        <v>327492558</v>
      </c>
      <c r="M14" s="342"/>
      <c r="N14" s="343">
        <f>'(E) SUG '!I14</f>
        <v>50497900</v>
      </c>
      <c r="O14" s="343"/>
      <c r="P14" s="343">
        <f t="shared" si="2"/>
        <v>276994658</v>
      </c>
      <c r="Q14" s="343"/>
      <c r="R14" s="343"/>
      <c r="S14" s="355">
        <f t="shared" si="6"/>
        <v>-7.4959999999999999E-2</v>
      </c>
      <c r="T14" s="357"/>
      <c r="U14" s="357"/>
      <c r="V14" s="332">
        <f>ROUND(S14*200000000/100,0)*100</f>
        <v>-14992000</v>
      </c>
      <c r="W14" s="390"/>
      <c r="X14" s="234">
        <f t="shared" si="4"/>
        <v>-14989000</v>
      </c>
      <c r="Y14" s="233"/>
      <c r="Z14" s="234">
        <f t="shared" si="5"/>
        <v>92618561</v>
      </c>
      <c r="AA14" s="395"/>
    </row>
    <row r="15" spans="1:30" ht="12.75" customHeight="1" x14ac:dyDescent="0.3">
      <c r="A15" s="232" t="s">
        <v>6</v>
      </c>
      <c r="B15" s="244">
        <f>'(B) Base Bud Adj'!T15</f>
        <v>56556610</v>
      </c>
      <c r="C15" s="232"/>
      <c r="D15" s="216">
        <f>'(D) Tuition Revenue'!T15</f>
        <v>-1227000</v>
      </c>
      <c r="E15" s="216"/>
      <c r="F15" s="216">
        <f>'(E) SUG '!L15</f>
        <v>515900</v>
      </c>
      <c r="G15" s="232"/>
      <c r="H15" s="232">
        <f t="shared" si="0"/>
        <v>55845510</v>
      </c>
      <c r="I15" s="232"/>
      <c r="J15" s="341">
        <f>'(A) Budget Summary'!S16+'(A) Budget Summary'!T16</f>
        <v>53785991</v>
      </c>
      <c r="K15" s="342"/>
      <c r="L15" s="342">
        <f t="shared" si="1"/>
        <v>109631501</v>
      </c>
      <c r="M15" s="342"/>
      <c r="N15" s="343">
        <f>'(E) SUG '!I15</f>
        <v>15547800</v>
      </c>
      <c r="O15" s="343"/>
      <c r="P15" s="343">
        <f t="shared" si="2"/>
        <v>94083701</v>
      </c>
      <c r="Q15" s="343"/>
      <c r="R15" s="343"/>
      <c r="S15" s="355">
        <f t="shared" si="6"/>
        <v>-2.5461000000000001E-2</v>
      </c>
      <c r="T15" s="357"/>
      <c r="U15" s="357"/>
      <c r="V15" s="332">
        <f t="shared" si="3"/>
        <v>-5092200</v>
      </c>
      <c r="W15" s="390"/>
      <c r="X15" s="234">
        <f t="shared" si="4"/>
        <v>-5803300</v>
      </c>
      <c r="Y15" s="233"/>
      <c r="Z15" s="234">
        <f t="shared" si="5"/>
        <v>50753310</v>
      </c>
      <c r="AA15" s="395"/>
    </row>
    <row r="16" spans="1:30" ht="12.75" customHeight="1" x14ac:dyDescent="0.3">
      <c r="A16" s="232" t="s">
        <v>7</v>
      </c>
      <c r="B16" s="244">
        <f>'(B) Base Bud Adj'!T16</f>
        <v>122542136.16</v>
      </c>
      <c r="C16" s="232"/>
      <c r="D16" s="216">
        <f>'(D) Tuition Revenue'!T16</f>
        <v>-5409000</v>
      </c>
      <c r="E16" s="216"/>
      <c r="F16" s="216">
        <f>'(E) SUG '!L16</f>
        <v>4534100</v>
      </c>
      <c r="G16" s="232"/>
      <c r="H16" s="232">
        <f t="shared" si="0"/>
        <v>121667236.16</v>
      </c>
      <c r="I16" s="232"/>
      <c r="J16" s="341">
        <f>'(A) Budget Summary'!S17+'(A) Budget Summary'!T17</f>
        <v>221799500</v>
      </c>
      <c r="K16" s="342"/>
      <c r="L16" s="342">
        <f t="shared" si="1"/>
        <v>343466736.15999997</v>
      </c>
      <c r="M16" s="342"/>
      <c r="N16" s="343">
        <f>'(E) SUG '!I16</f>
        <v>55039900</v>
      </c>
      <c r="O16" s="343"/>
      <c r="P16" s="343">
        <f t="shared" si="2"/>
        <v>288426836.15999997</v>
      </c>
      <c r="Q16" s="343"/>
      <c r="R16" s="343"/>
      <c r="S16" s="355">
        <f>-ROUND(P16/$P$32,6)</f>
        <v>-7.8053999999999998E-2</v>
      </c>
      <c r="T16" s="357"/>
      <c r="U16" s="357"/>
      <c r="V16" s="332">
        <f t="shared" si="3"/>
        <v>-15610800</v>
      </c>
      <c r="W16" s="390"/>
      <c r="X16" s="234">
        <f t="shared" si="4"/>
        <v>-16485700</v>
      </c>
      <c r="Y16" s="233"/>
      <c r="Z16" s="234">
        <f t="shared" si="5"/>
        <v>106056436.16</v>
      </c>
      <c r="AA16" s="395"/>
    </row>
    <row r="17" spans="1:27" ht="12.75" customHeight="1" x14ac:dyDescent="0.3">
      <c r="A17" s="232" t="s">
        <v>8</v>
      </c>
      <c r="B17" s="244">
        <f>'(B) Base Bud Adj'!T17</f>
        <v>91419639</v>
      </c>
      <c r="C17" s="232"/>
      <c r="D17" s="216">
        <f>'(D) Tuition Revenue'!T17</f>
        <v>-3396000</v>
      </c>
      <c r="E17" s="216"/>
      <c r="F17" s="216">
        <f>'(E) SUG '!L17</f>
        <v>3615100</v>
      </c>
      <c r="G17" s="232"/>
      <c r="H17" s="232">
        <f t="shared" si="0"/>
        <v>91638739</v>
      </c>
      <c r="I17" s="232"/>
      <c r="J17" s="341">
        <f>'(A) Budget Summary'!S18+'(A) Budget Summary'!T18</f>
        <v>128113760</v>
      </c>
      <c r="K17" s="342"/>
      <c r="L17" s="342">
        <f t="shared" si="1"/>
        <v>219752499</v>
      </c>
      <c r="M17" s="342"/>
      <c r="N17" s="343">
        <f>'(E) SUG '!I17</f>
        <v>45948500</v>
      </c>
      <c r="O17" s="343"/>
      <c r="P17" s="343">
        <f t="shared" si="2"/>
        <v>173803999</v>
      </c>
      <c r="Q17" s="343"/>
      <c r="R17" s="343"/>
      <c r="S17" s="355">
        <f>-ROUND(P17/$P$32,6)+0.000001</f>
        <v>-4.7033999999999999E-2</v>
      </c>
      <c r="T17" s="357"/>
      <c r="U17" s="357"/>
      <c r="V17" s="332">
        <f t="shared" si="3"/>
        <v>-9406800</v>
      </c>
      <c r="W17" s="390"/>
      <c r="X17" s="234">
        <f t="shared" si="4"/>
        <v>-9187700</v>
      </c>
      <c r="Y17" s="233"/>
      <c r="Z17" s="234">
        <f t="shared" si="5"/>
        <v>82231939</v>
      </c>
      <c r="AA17" s="395"/>
    </row>
    <row r="18" spans="1:27" ht="12.75" customHeight="1" x14ac:dyDescent="0.3">
      <c r="A18" s="232" t="s">
        <v>9</v>
      </c>
      <c r="B18" s="244">
        <f>'(B) Base Bud Adj'!T18</f>
        <v>21026171</v>
      </c>
      <c r="C18" s="232"/>
      <c r="D18" s="216">
        <f>'(D) Tuition Revenue'!T18</f>
        <v>-132000</v>
      </c>
      <c r="E18" s="216"/>
      <c r="F18" s="216">
        <f>'(E) SUG '!L18</f>
        <v>176400</v>
      </c>
      <c r="G18" s="232"/>
      <c r="H18" s="232">
        <f t="shared" si="0"/>
        <v>21070571</v>
      </c>
      <c r="I18" s="232"/>
      <c r="J18" s="341">
        <f>'(A) Budget Summary'!S19+'(A) Budget Summary'!T19</f>
        <v>6924982</v>
      </c>
      <c r="K18" s="342"/>
      <c r="L18" s="342">
        <f t="shared" si="1"/>
        <v>27995553</v>
      </c>
      <c r="M18" s="342"/>
      <c r="N18" s="343">
        <f>'(E) SUG '!I18</f>
        <v>1815300</v>
      </c>
      <c r="O18" s="343"/>
      <c r="P18" s="343">
        <f t="shared" si="2"/>
        <v>26180253</v>
      </c>
      <c r="Q18" s="343"/>
      <c r="R18" s="343"/>
      <c r="S18" s="355">
        <f>-ROUND(P18/$P$32,6)+0.000001</f>
        <v>-7.084E-3</v>
      </c>
      <c r="T18" s="357"/>
      <c r="U18" s="357"/>
      <c r="V18" s="332">
        <f>ROUND(S18*200000000/100,0)*100</f>
        <v>-1416800</v>
      </c>
      <c r="W18" s="390"/>
      <c r="X18" s="234">
        <f t="shared" si="4"/>
        <v>-1372400</v>
      </c>
      <c r="Y18" s="233"/>
      <c r="Z18" s="234">
        <f t="shared" si="5"/>
        <v>19653771</v>
      </c>
      <c r="AA18" s="395"/>
    </row>
    <row r="19" spans="1:27" ht="12.75" customHeight="1" x14ac:dyDescent="0.3">
      <c r="A19" s="232" t="s">
        <v>10</v>
      </c>
      <c r="B19" s="244">
        <f>'(B) Base Bud Adj'!T19</f>
        <v>49246283</v>
      </c>
      <c r="C19" s="232"/>
      <c r="D19" s="216">
        <f>'(D) Tuition Revenue'!T19</f>
        <v>-737000</v>
      </c>
      <c r="E19" s="216"/>
      <c r="F19" s="216">
        <f>'(E) SUG '!L19</f>
        <v>669900</v>
      </c>
      <c r="G19" s="232"/>
      <c r="H19" s="232">
        <f t="shared" si="0"/>
        <v>49179183</v>
      </c>
      <c r="I19" s="232"/>
      <c r="J19" s="341">
        <f>'(A) Budget Summary'!S20+'(A) Budget Summary'!T20</f>
        <v>28044466</v>
      </c>
      <c r="K19" s="342"/>
      <c r="L19" s="342">
        <f t="shared" si="1"/>
        <v>77223649</v>
      </c>
      <c r="M19" s="342"/>
      <c r="N19" s="343">
        <f>'(E) SUG '!I19</f>
        <v>9645600</v>
      </c>
      <c r="O19" s="343"/>
      <c r="P19" s="343">
        <f t="shared" si="2"/>
        <v>67578049</v>
      </c>
      <c r="Q19" s="343"/>
      <c r="R19" s="343"/>
      <c r="S19" s="355">
        <f>-ROUND(P19/$P$32,6)</f>
        <v>-1.8287999999999999E-2</v>
      </c>
      <c r="T19" s="357"/>
      <c r="U19" s="357"/>
      <c r="V19" s="332">
        <f t="shared" si="3"/>
        <v>-3657600</v>
      </c>
      <c r="W19" s="390"/>
      <c r="X19" s="234">
        <f t="shared" si="4"/>
        <v>-3724700</v>
      </c>
      <c r="Y19" s="233"/>
      <c r="Z19" s="234">
        <f t="shared" si="5"/>
        <v>45521583</v>
      </c>
      <c r="AA19" s="395"/>
    </row>
    <row r="20" spans="1:27" ht="12.75" customHeight="1" x14ac:dyDescent="0.3">
      <c r="A20" s="232" t="s">
        <v>11</v>
      </c>
      <c r="B20" s="244">
        <f>'(B) Base Bud Adj'!T20</f>
        <v>122379896</v>
      </c>
      <c r="C20" s="232"/>
      <c r="D20" s="216">
        <f>'(D) Tuition Revenue'!T20</f>
        <v>-5350000</v>
      </c>
      <c r="E20" s="216"/>
      <c r="F20" s="216">
        <f>'(E) SUG '!L20</f>
        <v>6144000</v>
      </c>
      <c r="G20" s="232"/>
      <c r="H20" s="232">
        <f t="shared" si="0"/>
        <v>123173896</v>
      </c>
      <c r="I20" s="232"/>
      <c r="J20" s="341">
        <f>'(A) Budget Summary'!S21+'(A) Budget Summary'!T21</f>
        <v>225386784</v>
      </c>
      <c r="K20" s="342"/>
      <c r="L20" s="342">
        <f t="shared" si="1"/>
        <v>348560680</v>
      </c>
      <c r="M20" s="342"/>
      <c r="N20" s="343">
        <f>'(E) SUG '!I20</f>
        <v>59047000</v>
      </c>
      <c r="O20" s="343"/>
      <c r="P20" s="343">
        <f t="shared" si="2"/>
        <v>289513680</v>
      </c>
      <c r="Q20" s="343"/>
      <c r="R20" s="343"/>
      <c r="S20" s="355">
        <f t="shared" si="6"/>
        <v>-7.8348000000000001E-2</v>
      </c>
      <c r="T20" s="357"/>
      <c r="U20" s="357"/>
      <c r="V20" s="332">
        <f t="shared" si="3"/>
        <v>-15669600</v>
      </c>
      <c r="W20" s="390"/>
      <c r="X20" s="234">
        <f t="shared" si="4"/>
        <v>-14875600</v>
      </c>
      <c r="Y20" s="233"/>
      <c r="Z20" s="234">
        <f t="shared" si="5"/>
        <v>107504296</v>
      </c>
      <c r="AA20" s="395"/>
    </row>
    <row r="21" spans="1:27" ht="12.75" customHeight="1" x14ac:dyDescent="0.3">
      <c r="A21" s="232" t="s">
        <v>12</v>
      </c>
      <c r="B21" s="244">
        <f>'(B) Base Bud Adj'!T21</f>
        <v>90984042</v>
      </c>
      <c r="C21" s="232"/>
      <c r="D21" s="216">
        <f>'(D) Tuition Revenue'!T21</f>
        <v>-3300000</v>
      </c>
      <c r="E21" s="216"/>
      <c r="F21" s="216">
        <f>'(E) SUG '!L21</f>
        <v>2410200</v>
      </c>
      <c r="G21" s="232"/>
      <c r="H21" s="232">
        <f t="shared" si="0"/>
        <v>90094242</v>
      </c>
      <c r="I21" s="232"/>
      <c r="J21" s="341">
        <f>'(A) Budget Summary'!S22+'(A) Budget Summary'!T22</f>
        <v>117974000</v>
      </c>
      <c r="K21" s="342"/>
      <c r="L21" s="342">
        <f t="shared" si="1"/>
        <v>208068242</v>
      </c>
      <c r="M21" s="342"/>
      <c r="N21" s="343">
        <f>'(E) SUG '!I21</f>
        <v>33609000</v>
      </c>
      <c r="O21" s="343"/>
      <c r="P21" s="343">
        <f t="shared" si="2"/>
        <v>174459242</v>
      </c>
      <c r="Q21" s="343"/>
      <c r="R21" s="343"/>
      <c r="S21" s="355">
        <f t="shared" si="6"/>
        <v>-4.7211999999999997E-2</v>
      </c>
      <c r="T21" s="357"/>
      <c r="U21" s="357"/>
      <c r="V21" s="332">
        <f t="shared" si="3"/>
        <v>-9442400</v>
      </c>
      <c r="W21" s="390"/>
      <c r="X21" s="234">
        <f t="shared" si="4"/>
        <v>-10332200</v>
      </c>
      <c r="Y21" s="233"/>
      <c r="Z21" s="234">
        <f t="shared" si="5"/>
        <v>80651842</v>
      </c>
      <c r="AA21" s="395"/>
    </row>
    <row r="22" spans="1:27" ht="12.75" customHeight="1" x14ac:dyDescent="0.3">
      <c r="A22" s="232" t="s">
        <v>13</v>
      </c>
      <c r="B22" s="244">
        <f>'(B) Base Bud Adj'!T22</f>
        <v>100702437</v>
      </c>
      <c r="C22" s="232"/>
      <c r="D22" s="216">
        <f>'(D) Tuition Revenue'!T22</f>
        <v>-4204000</v>
      </c>
      <c r="E22" s="216"/>
      <c r="F22" s="216">
        <f>'(E) SUG '!L22</f>
        <v>5437000</v>
      </c>
      <c r="G22" s="232"/>
      <c r="H22" s="232">
        <f t="shared" si="0"/>
        <v>101935437</v>
      </c>
      <c r="I22" s="232"/>
      <c r="J22" s="341">
        <f>'(A) Budget Summary'!S23+'(A) Budget Summary'!T23</f>
        <v>166619849</v>
      </c>
      <c r="K22" s="342"/>
      <c r="L22" s="342">
        <f t="shared" si="1"/>
        <v>268555286</v>
      </c>
      <c r="M22" s="342"/>
      <c r="N22" s="343">
        <f>'(E) SUG '!I22</f>
        <v>46725400</v>
      </c>
      <c r="O22" s="343"/>
      <c r="P22" s="343">
        <f t="shared" si="2"/>
        <v>221829886</v>
      </c>
      <c r="Q22" s="343"/>
      <c r="R22" s="343"/>
      <c r="S22" s="355">
        <f>-ROUND(P22/$P$32,6)</f>
        <v>-6.0031000000000001E-2</v>
      </c>
      <c r="T22" s="357"/>
      <c r="U22" s="357"/>
      <c r="V22" s="332">
        <f>ROUND(S22*200000000/100,0)*100</f>
        <v>-12006200</v>
      </c>
      <c r="W22" s="390"/>
      <c r="X22" s="234">
        <f t="shared" si="4"/>
        <v>-10773200</v>
      </c>
      <c r="Y22" s="233"/>
      <c r="Z22" s="234">
        <f t="shared" si="5"/>
        <v>89929237</v>
      </c>
      <c r="AA22" s="395"/>
    </row>
    <row r="23" spans="1:27" ht="12.75" customHeight="1" x14ac:dyDescent="0.3">
      <c r="A23" s="232" t="s">
        <v>14</v>
      </c>
      <c r="B23" s="244">
        <f>'(B) Base Bud Adj'!T23</f>
        <v>71413808</v>
      </c>
      <c r="C23" s="232"/>
      <c r="D23" s="216">
        <f>'(D) Tuition Revenue'!T23</f>
        <v>-2707000</v>
      </c>
      <c r="E23" s="216"/>
      <c r="F23" s="216">
        <f>'(E) SUG '!L23</f>
        <v>1991100</v>
      </c>
      <c r="G23" s="232"/>
      <c r="H23" s="232">
        <f t="shared" si="0"/>
        <v>70697908</v>
      </c>
      <c r="I23" s="232"/>
      <c r="J23" s="341">
        <f>'(A) Budget Summary'!S24+'(A) Budget Summary'!T24</f>
        <v>113076192</v>
      </c>
      <c r="K23" s="342"/>
      <c r="L23" s="342">
        <f t="shared" si="1"/>
        <v>183774100</v>
      </c>
      <c r="M23" s="342"/>
      <c r="N23" s="343">
        <f>'(E) SUG '!I23</f>
        <v>36134400</v>
      </c>
      <c r="O23" s="343"/>
      <c r="P23" s="343">
        <f t="shared" si="2"/>
        <v>147639700</v>
      </c>
      <c r="Q23" s="343"/>
      <c r="R23" s="343"/>
      <c r="S23" s="355">
        <f t="shared" si="6"/>
        <v>-3.9954000000000003E-2</v>
      </c>
      <c r="T23" s="357"/>
      <c r="U23" s="357"/>
      <c r="V23" s="332">
        <f t="shared" si="3"/>
        <v>-7990800</v>
      </c>
      <c r="W23" s="390"/>
      <c r="X23" s="234">
        <f t="shared" si="4"/>
        <v>-8706700</v>
      </c>
      <c r="Y23" s="233"/>
      <c r="Z23" s="234">
        <f t="shared" si="5"/>
        <v>62707108</v>
      </c>
      <c r="AA23" s="395"/>
    </row>
    <row r="24" spans="1:27" ht="12.75" customHeight="1" x14ac:dyDescent="0.3">
      <c r="A24" s="232" t="s">
        <v>15</v>
      </c>
      <c r="B24" s="244">
        <f>'(B) Base Bud Adj'!T24</f>
        <v>124962996</v>
      </c>
      <c r="C24" s="232"/>
      <c r="D24" s="216">
        <f>'(D) Tuition Revenue'!T24</f>
        <v>-5497000</v>
      </c>
      <c r="E24" s="216"/>
      <c r="F24" s="216">
        <f>'(E) SUG '!L24</f>
        <v>4863200</v>
      </c>
      <c r="G24" s="232"/>
      <c r="H24" s="232">
        <f t="shared" si="0"/>
        <v>124329196</v>
      </c>
      <c r="I24" s="232"/>
      <c r="J24" s="341">
        <f>'(A) Budget Summary'!S25+'(A) Budget Summary'!T25</f>
        <v>208111627</v>
      </c>
      <c r="K24" s="342"/>
      <c r="L24" s="342">
        <f t="shared" si="1"/>
        <v>332440823</v>
      </c>
      <c r="M24" s="342"/>
      <c r="N24" s="343">
        <f>'(E) SUG '!I24</f>
        <v>45205000</v>
      </c>
      <c r="O24" s="343"/>
      <c r="P24" s="343">
        <f t="shared" si="2"/>
        <v>287235823</v>
      </c>
      <c r="Q24" s="343"/>
      <c r="R24" s="343"/>
      <c r="S24" s="355">
        <f t="shared" si="6"/>
        <v>-7.7730999999999995E-2</v>
      </c>
      <c r="T24" s="357"/>
      <c r="U24" s="357"/>
      <c r="V24" s="332">
        <f t="shared" si="3"/>
        <v>-15546200</v>
      </c>
      <c r="W24" s="390"/>
      <c r="X24" s="234">
        <f t="shared" si="4"/>
        <v>-16180000</v>
      </c>
      <c r="Y24" s="233"/>
      <c r="Z24" s="234">
        <f t="shared" si="5"/>
        <v>108782996</v>
      </c>
      <c r="AA24" s="395"/>
    </row>
    <row r="25" spans="1:27" ht="12.75" customHeight="1" x14ac:dyDescent="0.3">
      <c r="A25" s="232" t="s">
        <v>16</v>
      </c>
      <c r="B25" s="244">
        <f>'(B) Base Bud Adj'!T25</f>
        <v>104030959</v>
      </c>
      <c r="C25" s="232"/>
      <c r="D25" s="216">
        <f>'(D) Tuition Revenue'!T25</f>
        <v>-4558000</v>
      </c>
      <c r="E25" s="216"/>
      <c r="F25" s="216">
        <f>'(E) SUG '!L25</f>
        <v>5126400</v>
      </c>
      <c r="G25" s="232"/>
      <c r="H25" s="232">
        <f t="shared" si="0"/>
        <v>104599359</v>
      </c>
      <c r="I25" s="232"/>
      <c r="J25" s="341">
        <f>'(A) Budget Summary'!S26+'(A) Budget Summary'!T26</f>
        <v>189899377</v>
      </c>
      <c r="K25" s="342"/>
      <c r="L25" s="342">
        <f t="shared" si="1"/>
        <v>294498736</v>
      </c>
      <c r="M25" s="342"/>
      <c r="N25" s="343">
        <f>'(E) SUG '!I25</f>
        <v>48868700</v>
      </c>
      <c r="O25" s="343"/>
      <c r="P25" s="343">
        <f t="shared" si="2"/>
        <v>245630036</v>
      </c>
      <c r="Q25" s="343"/>
      <c r="R25" s="343"/>
      <c r="S25" s="355">
        <f t="shared" si="6"/>
        <v>-6.6472000000000003E-2</v>
      </c>
      <c r="T25" s="357"/>
      <c r="U25" s="357"/>
      <c r="V25" s="332">
        <f t="shared" si="3"/>
        <v>-13294400</v>
      </c>
      <c r="W25" s="390"/>
      <c r="X25" s="234">
        <f t="shared" si="4"/>
        <v>-12726000</v>
      </c>
      <c r="Y25" s="233"/>
      <c r="Z25" s="234">
        <f t="shared" si="5"/>
        <v>91304959</v>
      </c>
      <c r="AA25" s="395"/>
    </row>
    <row r="26" spans="1:27" ht="12.75" customHeight="1" x14ac:dyDescent="0.3">
      <c r="A26" s="232" t="s">
        <v>17</v>
      </c>
      <c r="B26" s="244">
        <f>'(B) Base Bud Adj'!T26</f>
        <v>93673982</v>
      </c>
      <c r="C26" s="232"/>
      <c r="D26" s="216">
        <f>'(D) Tuition Revenue'!T26</f>
        <v>-4468000</v>
      </c>
      <c r="E26" s="216"/>
      <c r="F26" s="216">
        <f>'(E) SUG '!L26</f>
        <v>4529800</v>
      </c>
      <c r="G26" s="232"/>
      <c r="H26" s="232">
        <f t="shared" si="0"/>
        <v>93735782</v>
      </c>
      <c r="I26" s="232"/>
      <c r="J26" s="341">
        <f>'(A) Budget Summary'!S27+'(A) Budget Summary'!T27</f>
        <v>176335100</v>
      </c>
      <c r="K26" s="342"/>
      <c r="L26" s="342">
        <f t="shared" si="1"/>
        <v>270070882</v>
      </c>
      <c r="M26" s="342"/>
      <c r="N26" s="343">
        <f>'(E) SUG '!I26</f>
        <v>39437100</v>
      </c>
      <c r="O26" s="343"/>
      <c r="P26" s="343">
        <f t="shared" si="2"/>
        <v>230633782</v>
      </c>
      <c r="Q26" s="343"/>
      <c r="R26" s="343"/>
      <c r="S26" s="355">
        <f t="shared" si="6"/>
        <v>-6.2413999999999997E-2</v>
      </c>
      <c r="T26" s="357"/>
      <c r="U26" s="357"/>
      <c r="V26" s="332">
        <f t="shared" si="3"/>
        <v>-12482800</v>
      </c>
      <c r="W26" s="390"/>
      <c r="X26" s="234">
        <f t="shared" si="4"/>
        <v>-12421000</v>
      </c>
      <c r="Y26" s="233"/>
      <c r="Z26" s="234">
        <f t="shared" si="5"/>
        <v>81252982</v>
      </c>
      <c r="AA26" s="395"/>
    </row>
    <row r="27" spans="1:27" ht="12.75" customHeight="1" x14ac:dyDescent="0.3">
      <c r="A27" s="232" t="s">
        <v>18</v>
      </c>
      <c r="B27" s="244">
        <f>'(B) Base Bud Adj'!T27</f>
        <v>83525368</v>
      </c>
      <c r="C27" s="232"/>
      <c r="D27" s="216">
        <f>'(D) Tuition Revenue'!T27</f>
        <v>-2891000</v>
      </c>
      <c r="E27" s="216"/>
      <c r="F27" s="216">
        <f>'(E) SUG '!L27</f>
        <v>1016400</v>
      </c>
      <c r="G27" s="232"/>
      <c r="H27" s="232">
        <f t="shared" si="0"/>
        <v>81650768</v>
      </c>
      <c r="I27" s="232"/>
      <c r="J27" s="341">
        <f>'(A) Budget Summary'!S28+'(A) Budget Summary'!T28</f>
        <v>138672000</v>
      </c>
      <c r="K27" s="342"/>
      <c r="L27" s="342">
        <f t="shared" si="1"/>
        <v>220322768</v>
      </c>
      <c r="M27" s="342"/>
      <c r="N27" s="343">
        <f>'(E) SUG '!I27</f>
        <v>15698900</v>
      </c>
      <c r="O27" s="343"/>
      <c r="P27" s="343">
        <f t="shared" si="2"/>
        <v>204623868</v>
      </c>
      <c r="Q27" s="343"/>
      <c r="R27" s="343"/>
      <c r="S27" s="355">
        <f t="shared" si="6"/>
        <v>-5.5375000000000001E-2</v>
      </c>
      <c r="T27" s="357"/>
      <c r="U27" s="357"/>
      <c r="V27" s="332">
        <f t="shared" si="3"/>
        <v>-11075000</v>
      </c>
      <c r="W27" s="390"/>
      <c r="X27" s="234">
        <f t="shared" si="4"/>
        <v>-12949600</v>
      </c>
      <c r="Y27" s="233"/>
      <c r="Z27" s="234">
        <f t="shared" si="5"/>
        <v>70575768</v>
      </c>
      <c r="AA27" s="395"/>
    </row>
    <row r="28" spans="1:27" ht="12.75" customHeight="1" x14ac:dyDescent="0.3">
      <c r="A28" s="232" t="s">
        <v>19</v>
      </c>
      <c r="B28" s="244">
        <f>'(B) Base Bud Adj'!T28</f>
        <v>48970252</v>
      </c>
      <c r="C28" s="232"/>
      <c r="D28" s="216">
        <f>'(D) Tuition Revenue'!T28</f>
        <v>-1488000</v>
      </c>
      <c r="E28" s="216"/>
      <c r="F28" s="216">
        <f>'(E) SUG '!L28</f>
        <v>2643000</v>
      </c>
      <c r="G28" s="232"/>
      <c r="H28" s="232">
        <f t="shared" si="0"/>
        <v>50125252</v>
      </c>
      <c r="I28" s="232"/>
      <c r="J28" s="341">
        <f>'(A) Budget Summary'!S29+'(A) Budget Summary'!T29</f>
        <v>58867000</v>
      </c>
      <c r="K28" s="342"/>
      <c r="L28" s="342">
        <f t="shared" si="1"/>
        <v>108992252</v>
      </c>
      <c r="M28" s="342"/>
      <c r="N28" s="343">
        <f>'(E) SUG '!I28</f>
        <v>16932900</v>
      </c>
      <c r="O28" s="343"/>
      <c r="P28" s="343">
        <f t="shared" si="2"/>
        <v>92059352</v>
      </c>
      <c r="Q28" s="343"/>
      <c r="R28" s="343"/>
      <c r="S28" s="355">
        <f t="shared" si="6"/>
        <v>-2.4913000000000001E-2</v>
      </c>
      <c r="T28" s="357"/>
      <c r="U28" s="357"/>
      <c r="V28" s="332">
        <f t="shared" si="3"/>
        <v>-4982600</v>
      </c>
      <c r="W28" s="390"/>
      <c r="X28" s="234">
        <f t="shared" si="4"/>
        <v>-3827600</v>
      </c>
      <c r="Y28" s="233"/>
      <c r="Z28" s="234">
        <f t="shared" si="5"/>
        <v>45142652</v>
      </c>
      <c r="AA28" s="395"/>
    </row>
    <row r="29" spans="1:27" ht="12.75" customHeight="1" x14ac:dyDescent="0.3">
      <c r="A29" s="232" t="s">
        <v>20</v>
      </c>
      <c r="B29" s="244">
        <f>'(B) Base Bud Adj'!T29</f>
        <v>43678183</v>
      </c>
      <c r="C29" s="232"/>
      <c r="D29" s="216">
        <f>'(D) Tuition Revenue'!T29</f>
        <v>-1324000</v>
      </c>
      <c r="E29" s="216"/>
      <c r="F29" s="216">
        <f>'(E) SUG '!L29</f>
        <v>1555400</v>
      </c>
      <c r="G29" s="232"/>
      <c r="H29" s="232">
        <f t="shared" si="0"/>
        <v>43909583</v>
      </c>
      <c r="I29" s="232"/>
      <c r="J29" s="341">
        <f>'(A) Budget Summary'!S30+'(A) Budget Summary'!T30</f>
        <v>51254000</v>
      </c>
      <c r="K29" s="342"/>
      <c r="L29" s="342">
        <f t="shared" si="1"/>
        <v>95163583</v>
      </c>
      <c r="M29" s="342"/>
      <c r="N29" s="343">
        <f>'(E) SUG '!I29</f>
        <v>11199500</v>
      </c>
      <c r="O29" s="343"/>
      <c r="P29" s="343">
        <f t="shared" si="2"/>
        <v>83964083</v>
      </c>
      <c r="Q29" s="343"/>
      <c r="R29" s="343"/>
      <c r="S29" s="355">
        <f t="shared" si="6"/>
        <v>-2.2721999999999999E-2</v>
      </c>
      <c r="T29" s="357"/>
      <c r="U29" s="357"/>
      <c r="V29" s="332">
        <f t="shared" si="3"/>
        <v>-4544400</v>
      </c>
      <c r="W29" s="390"/>
      <c r="X29" s="234">
        <f t="shared" si="4"/>
        <v>-4313000</v>
      </c>
      <c r="Y29" s="233"/>
      <c r="Z29" s="234">
        <f t="shared" si="5"/>
        <v>39365183</v>
      </c>
      <c r="AA29" s="395"/>
    </row>
    <row r="30" spans="1:27" ht="12.75" customHeight="1" x14ac:dyDescent="0.3">
      <c r="A30" s="232" t="s">
        <v>21</v>
      </c>
      <c r="B30" s="244">
        <f>'(B) Base Bud Adj'!T30</f>
        <v>44198947</v>
      </c>
      <c r="C30" s="232"/>
      <c r="D30" s="216">
        <f>'(D) Tuition Revenue'!T30</f>
        <v>-1341000</v>
      </c>
      <c r="E30" s="216"/>
      <c r="F30" s="216">
        <f>'(E) SUG '!L30</f>
        <v>2561700</v>
      </c>
      <c r="G30" s="232"/>
      <c r="H30" s="232">
        <f t="shared" si="0"/>
        <v>45419647</v>
      </c>
      <c r="I30" s="232"/>
      <c r="J30" s="341">
        <f>'(A) Budget Summary'!S31+'(A) Budget Summary'!T31</f>
        <v>56876017</v>
      </c>
      <c r="K30" s="342"/>
      <c r="L30" s="342">
        <f t="shared" si="1"/>
        <v>102295664</v>
      </c>
      <c r="M30" s="342"/>
      <c r="N30" s="343">
        <f>'(E) SUG '!I30</f>
        <v>17288200</v>
      </c>
      <c r="O30" s="343"/>
      <c r="P30" s="343">
        <f t="shared" si="2"/>
        <v>85007464</v>
      </c>
      <c r="Q30" s="343"/>
      <c r="R30" s="343"/>
      <c r="S30" s="355">
        <f t="shared" si="6"/>
        <v>-2.3005000000000001E-2</v>
      </c>
      <c r="T30" s="357"/>
      <c r="U30" s="357"/>
      <c r="V30" s="332">
        <f t="shared" si="3"/>
        <v>-4601000</v>
      </c>
      <c r="W30" s="390"/>
      <c r="X30" s="234">
        <f t="shared" si="4"/>
        <v>-3380300</v>
      </c>
      <c r="Y30" s="233"/>
      <c r="Z30" s="234">
        <f t="shared" si="5"/>
        <v>40818647</v>
      </c>
      <c r="AA30" s="395"/>
    </row>
    <row r="31" spans="1:27" ht="9" customHeight="1" x14ac:dyDescent="0.3">
      <c r="A31" s="232"/>
      <c r="B31" s="244"/>
      <c r="C31" s="232"/>
      <c r="D31" s="77"/>
      <c r="E31" s="77"/>
      <c r="F31" s="77"/>
      <c r="G31" s="232"/>
      <c r="H31" s="232"/>
      <c r="I31" s="232"/>
      <c r="J31" s="341"/>
      <c r="K31" s="342"/>
      <c r="L31" s="342"/>
      <c r="M31" s="342"/>
      <c r="N31" s="343"/>
      <c r="O31" s="343"/>
      <c r="P31" s="343"/>
      <c r="Q31" s="343"/>
      <c r="R31" s="343"/>
      <c r="S31" s="358"/>
      <c r="T31" s="357"/>
      <c r="U31" s="357"/>
      <c r="V31" s="332"/>
      <c r="W31" s="390"/>
      <c r="X31" s="377"/>
      <c r="Y31" s="233"/>
      <c r="Z31" s="377"/>
      <c r="AA31" s="235"/>
    </row>
    <row r="32" spans="1:27" ht="15" customHeight="1" x14ac:dyDescent="0.3">
      <c r="A32" s="239" t="s">
        <v>22</v>
      </c>
      <c r="B32" s="239">
        <f>SUM(B8:B31)</f>
        <v>1760426466.1599998</v>
      </c>
      <c r="C32" s="239"/>
      <c r="D32" s="219">
        <f>SUM(D8:D31)</f>
        <v>-65522000</v>
      </c>
      <c r="E32" s="219"/>
      <c r="F32" s="219">
        <f>SUM(F8:F31)</f>
        <v>65900000</v>
      </c>
      <c r="G32" s="239"/>
      <c r="H32" s="219">
        <f>SUM(H8:H31)</f>
        <v>1760804466.1599998</v>
      </c>
      <c r="I32" s="239"/>
      <c r="J32" s="344">
        <f>SUM(J8:J31)</f>
        <v>2626171962</v>
      </c>
      <c r="K32" s="345"/>
      <c r="L32" s="372">
        <f>SUM(L8:L31)</f>
        <v>4386976428.1599998</v>
      </c>
      <c r="M32" s="345"/>
      <c r="N32" s="346">
        <f>SUM(N8:N30)</f>
        <v>691734800</v>
      </c>
      <c r="O32" s="346"/>
      <c r="P32" s="346">
        <f t="shared" ref="P32" si="7">SUM(P8:P30)</f>
        <v>3695241628.1599998</v>
      </c>
      <c r="Q32" s="346"/>
      <c r="R32" s="346"/>
      <c r="S32" s="359">
        <f>SUM(S8:S30)</f>
        <v>-0.99999999999999989</v>
      </c>
      <c r="T32" s="346"/>
      <c r="U32" s="346"/>
      <c r="V32" s="333">
        <f t="shared" ref="V32" si="8">SUM(V8:V30)</f>
        <v>-200000000</v>
      </c>
      <c r="W32" s="391"/>
      <c r="X32" s="241">
        <f>SUM(X8:X31)</f>
        <v>-199622000</v>
      </c>
      <c r="Y32" s="240"/>
      <c r="Z32" s="241">
        <f>SUM(Z8:Z31)</f>
        <v>1560804466.1599998</v>
      </c>
      <c r="AA32" s="228"/>
    </row>
    <row r="33" spans="1:30" ht="9" customHeight="1" x14ac:dyDescent="0.3">
      <c r="A33" s="232"/>
      <c r="B33" s="244"/>
      <c r="C33" s="232"/>
      <c r="D33" s="77"/>
      <c r="E33" s="77"/>
      <c r="F33" s="77"/>
      <c r="G33" s="232"/>
      <c r="H33" s="232"/>
      <c r="I33" s="232"/>
      <c r="J33" s="341"/>
      <c r="K33" s="342"/>
      <c r="L33" s="342"/>
      <c r="M33" s="342"/>
      <c r="N33" s="343"/>
      <c r="O33" s="343"/>
      <c r="P33" s="343"/>
      <c r="Q33" s="343"/>
      <c r="R33" s="343"/>
      <c r="S33" s="358"/>
      <c r="T33" s="357"/>
      <c r="U33" s="357"/>
      <c r="V33" s="332"/>
      <c r="W33" s="390"/>
      <c r="X33" s="377"/>
      <c r="Y33" s="233"/>
      <c r="Z33" s="377"/>
      <c r="AA33" s="235"/>
    </row>
    <row r="34" spans="1:30" ht="12.75" customHeight="1" x14ac:dyDescent="0.3">
      <c r="A34" s="205" t="s">
        <v>23</v>
      </c>
      <c r="B34" s="244">
        <f>'(B) Base Bud Adj'!T34</f>
        <v>64213689</v>
      </c>
      <c r="C34" s="205"/>
      <c r="D34" s="216">
        <f>'(D) Tuition Revenue'!T34</f>
        <v>0</v>
      </c>
      <c r="E34" s="75"/>
      <c r="F34" s="75">
        <v>0</v>
      </c>
      <c r="G34" s="205"/>
      <c r="H34" s="232">
        <f t="shared" ref="H34:H40" si="9">B34+D34+F34</f>
        <v>64213689</v>
      </c>
      <c r="I34" s="205"/>
      <c r="J34" s="347">
        <f>'(A) Budget Summary'!S35+'(A) Budget Summary'!T35</f>
        <v>0</v>
      </c>
      <c r="K34" s="203"/>
      <c r="L34" s="342">
        <f t="shared" ref="L34" si="10">H34+J34</f>
        <v>64213689</v>
      </c>
      <c r="M34" s="203"/>
      <c r="N34" s="343">
        <v>0</v>
      </c>
      <c r="O34" s="343"/>
      <c r="P34" s="343">
        <f t="shared" ref="P34:P40" si="11">L34-N34</f>
        <v>64213689</v>
      </c>
      <c r="Q34" s="343"/>
      <c r="R34" s="343"/>
      <c r="S34" s="358">
        <v>0</v>
      </c>
      <c r="T34" s="357"/>
      <c r="U34" s="357"/>
      <c r="V34" s="332">
        <f t="shared" ref="V34:V38" si="12">S34*200000000</f>
        <v>0</v>
      </c>
      <c r="W34" s="390"/>
      <c r="X34" s="234">
        <f t="shared" ref="X34:X40" si="13">D34+F34+V34</f>
        <v>0</v>
      </c>
      <c r="Y34" s="233"/>
      <c r="Z34" s="234">
        <f t="shared" ref="Z34:Z40" si="14">B34+X34</f>
        <v>64213689</v>
      </c>
      <c r="AA34" s="228"/>
    </row>
    <row r="35" spans="1:30" ht="12.75" customHeight="1" x14ac:dyDescent="0.3">
      <c r="A35" s="205" t="s">
        <v>29</v>
      </c>
      <c r="B35" s="244">
        <f>'(B) Base Bud Adj'!T35</f>
        <v>981735</v>
      </c>
      <c r="C35" s="205"/>
      <c r="D35" s="216">
        <f>'(D) Tuition Revenue'!T35</f>
        <v>-224000</v>
      </c>
      <c r="E35" s="75"/>
      <c r="F35" s="75">
        <v>0</v>
      </c>
      <c r="G35" s="205"/>
      <c r="H35" s="232">
        <f t="shared" si="9"/>
        <v>757735</v>
      </c>
      <c r="I35" s="205"/>
      <c r="J35" s="347">
        <f>'(A) Budget Summary'!S36+'(A) Budget Summary'!T36</f>
        <v>697000</v>
      </c>
      <c r="K35" s="203"/>
      <c r="L35" s="342">
        <f t="shared" ref="L35:L40" si="15">H35+J35</f>
        <v>1454735</v>
      </c>
      <c r="M35" s="203"/>
      <c r="N35" s="343">
        <v>0</v>
      </c>
      <c r="O35" s="343"/>
      <c r="P35" s="343">
        <f t="shared" si="11"/>
        <v>1454735</v>
      </c>
      <c r="Q35" s="343"/>
      <c r="R35" s="343"/>
      <c r="S35" s="358">
        <v>0</v>
      </c>
      <c r="T35" s="357"/>
      <c r="U35" s="357"/>
      <c r="V35" s="332">
        <f t="shared" si="12"/>
        <v>0</v>
      </c>
      <c r="W35" s="390"/>
      <c r="X35" s="234">
        <f t="shared" si="13"/>
        <v>-224000</v>
      </c>
      <c r="Y35" s="233"/>
      <c r="Z35" s="234">
        <f t="shared" si="14"/>
        <v>757735</v>
      </c>
      <c r="AA35" s="228"/>
    </row>
    <row r="36" spans="1:30" ht="12.75" customHeight="1" x14ac:dyDescent="0.3">
      <c r="A36" s="205" t="s">
        <v>24</v>
      </c>
      <c r="B36" s="244">
        <f>'(B) Base Bud Adj'!T36</f>
        <v>2269496</v>
      </c>
      <c r="C36" s="205"/>
      <c r="D36" s="216">
        <f>'(D) Tuition Revenue'!T36</f>
        <v>-108000</v>
      </c>
      <c r="E36" s="75"/>
      <c r="F36" s="75">
        <v>0</v>
      </c>
      <c r="G36" s="205"/>
      <c r="H36" s="232">
        <f t="shared" si="9"/>
        <v>2161496</v>
      </c>
      <c r="I36" s="205"/>
      <c r="J36" s="347">
        <f>'(A) Budget Summary'!S37+'(A) Budget Summary'!T37</f>
        <v>3339000</v>
      </c>
      <c r="K36" s="203"/>
      <c r="L36" s="342">
        <f t="shared" si="15"/>
        <v>5500496</v>
      </c>
      <c r="M36" s="203"/>
      <c r="N36" s="343">
        <v>0</v>
      </c>
      <c r="O36" s="343"/>
      <c r="P36" s="343">
        <f t="shared" si="11"/>
        <v>5500496</v>
      </c>
      <c r="Q36" s="343"/>
      <c r="R36" s="343"/>
      <c r="S36" s="358">
        <v>0</v>
      </c>
      <c r="T36" s="357"/>
      <c r="U36" s="357"/>
      <c r="V36" s="332">
        <f t="shared" si="12"/>
        <v>0</v>
      </c>
      <c r="W36" s="390"/>
      <c r="X36" s="234">
        <f t="shared" si="13"/>
        <v>-108000</v>
      </c>
      <c r="Y36" s="233"/>
      <c r="Z36" s="234">
        <f t="shared" si="14"/>
        <v>2161496</v>
      </c>
      <c r="AA36" s="228"/>
    </row>
    <row r="37" spans="1:30" ht="12.75" customHeight="1" x14ac:dyDescent="0.3">
      <c r="A37" s="205" t="s">
        <v>25</v>
      </c>
      <c r="B37" s="244">
        <f>'(B) Base Bud Adj'!T37</f>
        <v>57800</v>
      </c>
      <c r="C37" s="205"/>
      <c r="D37" s="216">
        <f>'(D) Tuition Revenue'!T37</f>
        <v>-46000</v>
      </c>
      <c r="E37" s="75"/>
      <c r="F37" s="75">
        <v>0</v>
      </c>
      <c r="G37" s="205"/>
      <c r="H37" s="232">
        <f t="shared" si="9"/>
        <v>11800</v>
      </c>
      <c r="I37" s="205"/>
      <c r="J37" s="347">
        <f>'(A) Budget Summary'!S38+'(A) Budget Summary'!T38</f>
        <v>144000</v>
      </c>
      <c r="K37" s="203"/>
      <c r="L37" s="342">
        <f t="shared" si="15"/>
        <v>155800</v>
      </c>
      <c r="M37" s="203"/>
      <c r="N37" s="343">
        <v>0</v>
      </c>
      <c r="O37" s="343"/>
      <c r="P37" s="343">
        <f t="shared" si="11"/>
        <v>155800</v>
      </c>
      <c r="Q37" s="343"/>
      <c r="R37" s="343"/>
      <c r="S37" s="358">
        <v>0</v>
      </c>
      <c r="T37" s="357"/>
      <c r="U37" s="357"/>
      <c r="V37" s="332">
        <f t="shared" si="12"/>
        <v>0</v>
      </c>
      <c r="W37" s="390"/>
      <c r="X37" s="234">
        <f t="shared" si="13"/>
        <v>-46000</v>
      </c>
      <c r="Y37" s="233"/>
      <c r="Z37" s="234">
        <f t="shared" si="14"/>
        <v>11800</v>
      </c>
      <c r="AA37" s="228"/>
    </row>
    <row r="38" spans="1:30" ht="12.75" customHeight="1" x14ac:dyDescent="0.3">
      <c r="A38" s="204" t="s">
        <v>26</v>
      </c>
      <c r="B38" s="244">
        <f>'(B) Base Bud Adj'!T38</f>
        <v>182703751</v>
      </c>
      <c r="C38" s="205"/>
      <c r="D38" s="216">
        <f>'(D) Tuition Revenue'!T38</f>
        <v>0</v>
      </c>
      <c r="E38" s="75"/>
      <c r="F38" s="75">
        <v>0</v>
      </c>
      <c r="G38" s="205"/>
      <c r="H38" s="232">
        <f t="shared" si="9"/>
        <v>182703751</v>
      </c>
      <c r="I38" s="204"/>
      <c r="J38" s="347">
        <f>'(A) Budget Summary'!S39+'(A) Budget Summary'!T39</f>
        <v>1000</v>
      </c>
      <c r="K38" s="203"/>
      <c r="L38" s="342">
        <f t="shared" si="15"/>
        <v>182704751</v>
      </c>
      <c r="M38" s="203"/>
      <c r="N38" s="343">
        <v>0</v>
      </c>
      <c r="O38" s="343"/>
      <c r="P38" s="343">
        <f t="shared" si="11"/>
        <v>182704751</v>
      </c>
      <c r="Q38" s="343"/>
      <c r="R38" s="343"/>
      <c r="S38" s="358">
        <v>0</v>
      </c>
      <c r="T38" s="357"/>
      <c r="U38" s="357"/>
      <c r="V38" s="332">
        <f t="shared" si="12"/>
        <v>0</v>
      </c>
      <c r="W38" s="390"/>
      <c r="X38" s="234">
        <f t="shared" si="13"/>
        <v>0</v>
      </c>
      <c r="Y38" s="233"/>
      <c r="Z38" s="234">
        <f t="shared" si="14"/>
        <v>182703751</v>
      </c>
      <c r="AA38" s="228"/>
    </row>
    <row r="39" spans="1:30" ht="12.75" customHeight="1" x14ac:dyDescent="0.3">
      <c r="A39" s="75" t="s">
        <v>123</v>
      </c>
      <c r="B39" s="244">
        <f>'(B) Base Bud Adj'!T39</f>
        <v>0</v>
      </c>
      <c r="C39" s="205"/>
      <c r="D39" s="216">
        <f>'(D) Tuition Revenue'!T39</f>
        <v>0</v>
      </c>
      <c r="E39" s="75"/>
      <c r="F39" s="75">
        <v>0</v>
      </c>
      <c r="G39" s="205"/>
      <c r="H39" s="232">
        <v>0</v>
      </c>
      <c r="I39" s="75"/>
      <c r="J39" s="347">
        <f>'(A) Budget Summary'!S40+'(A) Budget Summary'!T40</f>
        <v>0</v>
      </c>
      <c r="K39" s="203"/>
      <c r="L39" s="342">
        <f t="shared" si="15"/>
        <v>0</v>
      </c>
      <c r="M39" s="203"/>
      <c r="N39" s="343">
        <v>0</v>
      </c>
      <c r="O39" s="343"/>
      <c r="P39" s="343">
        <f t="shared" si="11"/>
        <v>0</v>
      </c>
      <c r="Q39" s="343"/>
      <c r="R39" s="343"/>
      <c r="S39" s="358">
        <v>0</v>
      </c>
      <c r="T39" s="357"/>
      <c r="U39" s="357"/>
      <c r="V39" s="332">
        <v>200000000</v>
      </c>
      <c r="W39" s="390"/>
      <c r="X39" s="234">
        <f t="shared" si="13"/>
        <v>200000000</v>
      </c>
      <c r="Y39" s="233"/>
      <c r="Z39" s="234">
        <f t="shared" si="14"/>
        <v>200000000</v>
      </c>
      <c r="AA39" s="228"/>
    </row>
    <row r="40" spans="1:30" ht="12.75" customHeight="1" x14ac:dyDescent="0.3">
      <c r="A40" s="75" t="s">
        <v>124</v>
      </c>
      <c r="B40" s="244">
        <f>'(B) Base Bud Adj'!T40</f>
        <v>189775000</v>
      </c>
      <c r="C40" s="205"/>
      <c r="D40" s="216">
        <f>'(D) Tuition Revenue'!T40</f>
        <v>0</v>
      </c>
      <c r="E40" s="75"/>
      <c r="F40" s="75">
        <v>0</v>
      </c>
      <c r="G40" s="205"/>
      <c r="H40" s="232">
        <f t="shared" si="9"/>
        <v>189775000</v>
      </c>
      <c r="I40" s="75"/>
      <c r="J40" s="347">
        <f>'(A) Budget Summary'!S41+'(A) Budget Summary'!T41</f>
        <v>0</v>
      </c>
      <c r="K40" s="203"/>
      <c r="L40" s="342">
        <f t="shared" si="15"/>
        <v>189775000</v>
      </c>
      <c r="M40" s="203"/>
      <c r="N40" s="343">
        <v>0</v>
      </c>
      <c r="O40" s="343"/>
      <c r="P40" s="343">
        <f t="shared" si="11"/>
        <v>189775000</v>
      </c>
      <c r="Q40" s="343"/>
      <c r="R40" s="343"/>
      <c r="S40" s="358">
        <v>0</v>
      </c>
      <c r="T40" s="357"/>
      <c r="U40" s="373"/>
      <c r="V40" s="364">
        <v>0</v>
      </c>
      <c r="W40" s="390"/>
      <c r="X40" s="234">
        <f t="shared" si="13"/>
        <v>0</v>
      </c>
      <c r="Y40" s="233"/>
      <c r="Z40" s="234">
        <f t="shared" si="14"/>
        <v>189775000</v>
      </c>
      <c r="AA40" s="235"/>
    </row>
    <row r="41" spans="1:30" ht="9" customHeight="1" x14ac:dyDescent="0.3">
      <c r="A41" s="244"/>
      <c r="B41" s="383"/>
      <c r="C41" s="244"/>
      <c r="D41" s="77"/>
      <c r="E41" s="77"/>
      <c r="F41" s="77"/>
      <c r="G41" s="244"/>
      <c r="H41" s="244"/>
      <c r="I41" s="244"/>
      <c r="J41" s="384"/>
      <c r="K41" s="348"/>
      <c r="L41" s="348"/>
      <c r="M41" s="348"/>
      <c r="N41" s="349"/>
      <c r="O41" s="349"/>
      <c r="P41" s="349"/>
      <c r="Q41" s="349"/>
      <c r="R41" s="349"/>
      <c r="S41" s="360"/>
      <c r="T41" s="361"/>
      <c r="U41" s="374"/>
      <c r="V41" s="365"/>
      <c r="W41" s="392"/>
      <c r="X41" s="377"/>
      <c r="Y41" s="245"/>
      <c r="Z41" s="377"/>
      <c r="AA41" s="235"/>
    </row>
    <row r="42" spans="1:30" ht="15" customHeight="1" thickBot="1" x14ac:dyDescent="0.35">
      <c r="A42" s="249" t="s">
        <v>27</v>
      </c>
      <c r="B42" s="378">
        <f>SUM(B32:B40)</f>
        <v>2200427937.1599998</v>
      </c>
      <c r="C42" s="249"/>
      <c r="D42" s="224">
        <f>SUM(D32:D40)</f>
        <v>-65900000</v>
      </c>
      <c r="E42" s="224"/>
      <c r="F42" s="224">
        <f>SUM(F32:F40)</f>
        <v>65900000</v>
      </c>
      <c r="G42" s="224"/>
      <c r="H42" s="224">
        <f>SUM(H32:H40)</f>
        <v>2200427937.1599998</v>
      </c>
      <c r="I42" s="224"/>
      <c r="J42" s="385">
        <f>SUM(J32:J40)</f>
        <v>2630352962</v>
      </c>
      <c r="K42" s="366"/>
      <c r="L42" s="371">
        <f>SUM(L32:L40)</f>
        <v>4830780899.1599998</v>
      </c>
      <c r="M42" s="366"/>
      <c r="N42" s="367">
        <f>SUM(N32:N40)</f>
        <v>691734800</v>
      </c>
      <c r="O42" s="367"/>
      <c r="P42" s="367">
        <f>SUM(P32:P40)</f>
        <v>4139046099.1599998</v>
      </c>
      <c r="Q42" s="367"/>
      <c r="R42" s="367"/>
      <c r="S42" s="368">
        <f>SUM(S32:S40)</f>
        <v>-0.99999999999999989</v>
      </c>
      <c r="T42" s="369"/>
      <c r="U42" s="375"/>
      <c r="V42" s="370">
        <f>SUM(V32:V40)</f>
        <v>0</v>
      </c>
      <c r="W42" s="393"/>
      <c r="X42" s="251">
        <f>SUM(X32:X40)</f>
        <v>0</v>
      </c>
      <c r="Y42" s="250"/>
      <c r="Z42" s="251">
        <f>SUM(Z32:Z40)</f>
        <v>2200427937.1599998</v>
      </c>
      <c r="AA42" s="228"/>
    </row>
    <row r="43" spans="1:30" ht="9" customHeight="1" x14ac:dyDescent="0.3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44"/>
      <c r="S43" s="253"/>
      <c r="T43" s="253"/>
      <c r="U43" s="253"/>
      <c r="V43" s="253"/>
      <c r="W43" s="253"/>
      <c r="X43" s="253"/>
      <c r="Y43" s="253"/>
      <c r="Z43" s="235"/>
      <c r="AA43" s="235"/>
    </row>
    <row r="44" spans="1:30" ht="18" customHeight="1" x14ac:dyDescent="0.3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44"/>
      <c r="S44" s="253"/>
      <c r="T44" s="253"/>
      <c r="U44" s="253"/>
      <c r="V44" s="253"/>
      <c r="W44" s="253"/>
      <c r="X44" s="253"/>
      <c r="Y44" s="253"/>
      <c r="Z44" s="235"/>
      <c r="AA44" s="235"/>
    </row>
    <row r="45" spans="1:30" ht="15.75" customHeight="1" x14ac:dyDescent="0.3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53"/>
      <c r="O45" s="253"/>
      <c r="P45" s="253"/>
      <c r="Q45" s="253"/>
      <c r="R45" s="233"/>
      <c r="S45" s="253"/>
      <c r="T45" s="253"/>
      <c r="U45" s="253"/>
      <c r="V45" s="256">
        <f>(7605900-57000-215000-212000-32000-128000-480000-11000)</f>
        <v>6470900</v>
      </c>
      <c r="W45" s="256"/>
      <c r="X45" s="256"/>
      <c r="Y45" s="253"/>
      <c r="Z45" s="235"/>
      <c r="AA45" s="235"/>
      <c r="AB45" s="199"/>
      <c r="AC45" s="199"/>
      <c r="AD45" s="200"/>
    </row>
    <row r="46" spans="1:30" x14ac:dyDescent="0.3">
      <c r="N46" s="199"/>
      <c r="O46" s="199"/>
      <c r="P46" s="199"/>
      <c r="Q46" s="199"/>
      <c r="R46" s="200"/>
      <c r="S46" s="199"/>
      <c r="T46" s="199"/>
      <c r="U46" s="199"/>
      <c r="V46" s="199"/>
      <c r="W46" s="199"/>
      <c r="X46" s="199"/>
      <c r="Y46" s="199"/>
      <c r="Z46" s="208"/>
      <c r="AA46" s="208"/>
      <c r="AB46" s="199"/>
      <c r="AC46" s="199"/>
      <c r="AD46" s="200"/>
    </row>
    <row r="47" spans="1:30" x14ac:dyDescent="0.3">
      <c r="N47" s="199"/>
      <c r="O47" s="199"/>
      <c r="P47" s="199"/>
      <c r="Q47" s="199"/>
      <c r="R47" s="200"/>
      <c r="S47" s="199"/>
      <c r="T47" s="199"/>
      <c r="U47" s="199"/>
      <c r="V47" s="199"/>
      <c r="W47" s="199"/>
      <c r="X47" s="199"/>
      <c r="Y47" s="199"/>
      <c r="Z47" s="208"/>
      <c r="AA47" s="208"/>
      <c r="AB47" s="199"/>
      <c r="AC47" s="199"/>
      <c r="AD47" s="199"/>
    </row>
    <row r="48" spans="1:30" x14ac:dyDescent="0.3">
      <c r="N48" s="199"/>
      <c r="O48" s="199"/>
      <c r="P48" s="199"/>
      <c r="Q48" s="199"/>
      <c r="R48" s="200"/>
      <c r="S48" s="199"/>
      <c r="T48" s="199"/>
      <c r="U48" s="199"/>
      <c r="V48" s="199"/>
      <c r="W48" s="199"/>
      <c r="X48" s="199"/>
      <c r="Y48" s="199"/>
      <c r="Z48" s="208"/>
      <c r="AA48" s="208"/>
      <c r="AB48" s="199"/>
      <c r="AC48" s="199"/>
      <c r="AD48" s="199"/>
    </row>
    <row r="49" spans="1:30" x14ac:dyDescent="0.3">
      <c r="N49" s="199"/>
      <c r="O49" s="199"/>
      <c r="P49" s="199"/>
      <c r="Q49" s="199"/>
      <c r="R49" s="200"/>
      <c r="S49" s="199"/>
      <c r="T49" s="199"/>
      <c r="U49" s="199"/>
      <c r="V49" s="199"/>
      <c r="W49" s="199"/>
      <c r="X49" s="199"/>
      <c r="Y49" s="199"/>
      <c r="Z49" s="208"/>
      <c r="AA49" s="208"/>
      <c r="AB49" s="199"/>
      <c r="AC49" s="199"/>
      <c r="AD49" s="199"/>
    </row>
    <row r="50" spans="1:30" x14ac:dyDescent="0.3">
      <c r="N50" s="199"/>
      <c r="O50" s="199"/>
      <c r="P50" s="199"/>
      <c r="Q50" s="199"/>
      <c r="R50" s="200"/>
      <c r="S50" s="199"/>
      <c r="T50" s="199"/>
      <c r="U50" s="199"/>
      <c r="V50" s="199"/>
      <c r="W50" s="199"/>
      <c r="X50" s="199"/>
      <c r="Y50" s="199"/>
      <c r="Z50" s="208"/>
      <c r="AA50" s="208"/>
      <c r="AB50" s="199"/>
      <c r="AC50" s="199"/>
      <c r="AD50" s="199"/>
    </row>
    <row r="51" spans="1:30" x14ac:dyDescent="0.3">
      <c r="N51" s="199"/>
      <c r="O51" s="199"/>
      <c r="P51" s="199"/>
      <c r="Q51" s="199"/>
      <c r="R51" s="200"/>
      <c r="S51" s="199"/>
      <c r="T51" s="199"/>
      <c r="U51" s="199"/>
      <c r="V51" s="199"/>
      <c r="W51" s="199"/>
      <c r="X51" s="199"/>
      <c r="Y51" s="199"/>
      <c r="Z51" s="208"/>
      <c r="AA51" s="208"/>
      <c r="AB51" s="199"/>
      <c r="AC51" s="199"/>
      <c r="AD51" s="199"/>
    </row>
    <row r="52" spans="1:30" x14ac:dyDescent="0.3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</row>
    <row r="53" spans="1:30" x14ac:dyDescent="0.3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</row>
    <row r="54" spans="1:30" x14ac:dyDescent="0.3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30" x14ac:dyDescent="0.3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</row>
    <row r="56" spans="1:30" x14ac:dyDescent="0.3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</row>
    <row r="57" spans="1:30" x14ac:dyDescent="0.3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</row>
    <row r="58" spans="1:30" x14ac:dyDescent="0.3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</row>
    <row r="59" spans="1:30" x14ac:dyDescent="0.3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</row>
    <row r="60" spans="1:30" x14ac:dyDescent="0.3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</row>
    <row r="61" spans="1:30" x14ac:dyDescent="0.3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</row>
    <row r="62" spans="1:30" x14ac:dyDescent="0.3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</row>
    <row r="63" spans="1:30" x14ac:dyDescent="0.3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</row>
    <row r="64" spans="1:30" x14ac:dyDescent="0.3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</row>
    <row r="65" spans="1:13" x14ac:dyDescent="0.3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</row>
    <row r="66" spans="1:13" x14ac:dyDescent="0.3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</row>
    <row r="67" spans="1:13" x14ac:dyDescent="0.3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</row>
    <row r="68" spans="1:13" x14ac:dyDescent="0.3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</row>
    <row r="69" spans="1:13" x14ac:dyDescent="0.3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</row>
    <row r="70" spans="1:13" x14ac:dyDescent="0.3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</row>
    <row r="71" spans="1:13" x14ac:dyDescent="0.3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</row>
  </sheetData>
  <mergeCells count="4">
    <mergeCell ref="R6:T6"/>
    <mergeCell ref="R5:T5"/>
    <mergeCell ref="D4:F4"/>
    <mergeCell ref="J4:V4"/>
  </mergeCells>
  <pageMargins left="0.5" right="0.25" top="0.25" bottom="0.25" header="0.3" footer="0.3"/>
  <pageSetup paperSize="5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1"/>
  <sheetViews>
    <sheetView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N37" sqref="N37"/>
    </sheetView>
  </sheetViews>
  <sheetFormatPr defaultRowHeight="13.8" x14ac:dyDescent="0.25"/>
  <cols>
    <col min="1" max="1" width="23.77734375" style="120" customWidth="1"/>
    <col min="2" max="2" width="11.6640625" style="120" customWidth="1"/>
    <col min="3" max="3" width="14.109375" style="120" bestFit="1" customWidth="1"/>
    <col min="4" max="4" width="13.77734375" style="120" customWidth="1"/>
    <col min="5" max="5" width="15" style="120" bestFit="1" customWidth="1"/>
    <col min="6" max="6" width="16.77734375" style="120" bestFit="1" customWidth="1"/>
    <col min="7" max="7" width="16.33203125" style="120" bestFit="1" customWidth="1"/>
    <col min="8" max="8" width="9.33203125" style="120" bestFit="1" customWidth="1"/>
    <col min="9" max="9" width="15" style="120" bestFit="1" customWidth="1"/>
    <col min="10" max="10" width="13.77734375" style="120" customWidth="1"/>
    <col min="11" max="11" width="12.77734375" style="120" customWidth="1"/>
    <col min="12" max="12" width="13.77734375" style="120" customWidth="1"/>
    <col min="13" max="13" width="15" style="120" bestFit="1" customWidth="1"/>
    <col min="14" max="14" width="16.33203125" style="120" bestFit="1" customWidth="1"/>
    <col min="15" max="15" width="14.109375" style="120" bestFit="1" customWidth="1"/>
    <col min="16" max="16" width="15" style="120" bestFit="1" customWidth="1"/>
    <col min="17" max="17" width="16.77734375" style="120" bestFit="1" customWidth="1"/>
    <col min="18" max="18" width="16.33203125" style="120" bestFit="1" customWidth="1"/>
    <col min="19" max="19" width="16.77734375" style="120" bestFit="1" customWidth="1"/>
    <col min="20" max="20" width="16.33203125" style="120" bestFit="1" customWidth="1"/>
    <col min="21" max="21" width="16.77734375" style="120" bestFit="1" customWidth="1"/>
    <col min="22" max="227" width="8.77734375" style="120"/>
    <col min="228" max="228" width="24.109375" style="120" customWidth="1"/>
    <col min="229" max="231" width="16.44140625" style="120" customWidth="1"/>
    <col min="232" max="232" width="18" style="120" customWidth="1"/>
    <col min="233" max="233" width="16.44140625" style="120" customWidth="1"/>
    <col min="234" max="234" width="4" style="120" customWidth="1"/>
    <col min="235" max="237" width="9.33203125" style="120" customWidth="1"/>
    <col min="238" max="238" width="22.44140625" style="120" customWidth="1"/>
    <col min="239" max="239" width="3.77734375" style="120" customWidth="1"/>
    <col min="240" max="240" width="16.44140625" style="120" customWidth="1"/>
    <col min="241" max="241" width="17.33203125" style="120" customWidth="1"/>
    <col min="242" max="245" width="16.44140625" style="120" customWidth="1"/>
    <col min="246" max="247" width="9.33203125" style="120" customWidth="1"/>
    <col min="248" max="248" width="18.77734375" style="120" customWidth="1"/>
    <col min="249" max="249" width="16.44140625" style="120" customWidth="1"/>
    <col min="250" max="250" width="17.77734375" style="120" customWidth="1"/>
    <col min="251" max="253" width="16.44140625" style="120" customWidth="1"/>
    <col min="254" max="254" width="17.77734375" style="120" bestFit="1" customWidth="1"/>
    <col min="255" max="255" width="16.44140625" style="120" customWidth="1"/>
    <col min="256" max="256" width="21" style="120" customWidth="1"/>
    <col min="257" max="257" width="16.44140625" style="120" customWidth="1"/>
    <col min="258" max="258" width="18.33203125" style="120" bestFit="1" customWidth="1"/>
    <col min="259" max="259" width="19.109375" style="120" customWidth="1"/>
    <col min="260" max="261" width="18.33203125" style="120" customWidth="1"/>
    <col min="262" max="262" width="8.77734375" style="120"/>
    <col min="263" max="264" width="16.77734375" style="120" customWidth="1"/>
    <col min="265" max="266" width="11.6640625" style="120" customWidth="1"/>
    <col min="267" max="267" width="8.77734375" style="120"/>
    <col min="268" max="268" width="18.33203125" style="120" customWidth="1"/>
    <col min="269" max="269" width="16.44140625" style="120" customWidth="1"/>
    <col min="270" max="270" width="9.44140625" style="120" bestFit="1" customWidth="1"/>
    <col min="271" max="271" width="17.6640625" style="120" customWidth="1"/>
    <col min="272" max="272" width="14.77734375" style="120" bestFit="1" customWidth="1"/>
    <col min="273" max="483" width="8.77734375" style="120"/>
    <col min="484" max="484" width="24.109375" style="120" customWidth="1"/>
    <col min="485" max="487" width="16.44140625" style="120" customWidth="1"/>
    <col min="488" max="488" width="18" style="120" customWidth="1"/>
    <col min="489" max="489" width="16.44140625" style="120" customWidth="1"/>
    <col min="490" max="490" width="4" style="120" customWidth="1"/>
    <col min="491" max="493" width="9.33203125" style="120" customWidth="1"/>
    <col min="494" max="494" width="22.44140625" style="120" customWidth="1"/>
    <col min="495" max="495" width="3.77734375" style="120" customWidth="1"/>
    <col min="496" max="496" width="16.44140625" style="120" customWidth="1"/>
    <col min="497" max="497" width="17.33203125" style="120" customWidth="1"/>
    <col min="498" max="501" width="16.44140625" style="120" customWidth="1"/>
    <col min="502" max="503" width="9.33203125" style="120" customWidth="1"/>
    <col min="504" max="504" width="18.77734375" style="120" customWidth="1"/>
    <col min="505" max="505" width="16.44140625" style="120" customWidth="1"/>
    <col min="506" max="506" width="17.77734375" style="120" customWidth="1"/>
    <col min="507" max="509" width="16.44140625" style="120" customWidth="1"/>
    <col min="510" max="510" width="17.77734375" style="120" bestFit="1" customWidth="1"/>
    <col min="511" max="511" width="16.44140625" style="120" customWidth="1"/>
    <col min="512" max="512" width="21" style="120" customWidth="1"/>
    <col min="513" max="513" width="16.44140625" style="120" customWidth="1"/>
    <col min="514" max="514" width="18.33203125" style="120" bestFit="1" customWidth="1"/>
    <col min="515" max="515" width="19.109375" style="120" customWidth="1"/>
    <col min="516" max="517" width="18.33203125" style="120" customWidth="1"/>
    <col min="518" max="518" width="8.77734375" style="120"/>
    <col min="519" max="520" width="16.77734375" style="120" customWidth="1"/>
    <col min="521" max="522" width="11.6640625" style="120" customWidth="1"/>
    <col min="523" max="523" width="8.77734375" style="120"/>
    <col min="524" max="524" width="18.33203125" style="120" customWidth="1"/>
    <col min="525" max="525" width="16.44140625" style="120" customWidth="1"/>
    <col min="526" max="526" width="9.44140625" style="120" bestFit="1" customWidth="1"/>
    <col min="527" max="527" width="17.6640625" style="120" customWidth="1"/>
    <col min="528" max="528" width="14.77734375" style="120" bestFit="1" customWidth="1"/>
    <col min="529" max="739" width="8.77734375" style="120"/>
    <col min="740" max="740" width="24.109375" style="120" customWidth="1"/>
    <col min="741" max="743" width="16.44140625" style="120" customWidth="1"/>
    <col min="744" max="744" width="18" style="120" customWidth="1"/>
    <col min="745" max="745" width="16.44140625" style="120" customWidth="1"/>
    <col min="746" max="746" width="4" style="120" customWidth="1"/>
    <col min="747" max="749" width="9.33203125" style="120" customWidth="1"/>
    <col min="750" max="750" width="22.44140625" style="120" customWidth="1"/>
    <col min="751" max="751" width="3.77734375" style="120" customWidth="1"/>
    <col min="752" max="752" width="16.44140625" style="120" customWidth="1"/>
    <col min="753" max="753" width="17.33203125" style="120" customWidth="1"/>
    <col min="754" max="757" width="16.44140625" style="120" customWidth="1"/>
    <col min="758" max="759" width="9.33203125" style="120" customWidth="1"/>
    <col min="760" max="760" width="18.77734375" style="120" customWidth="1"/>
    <col min="761" max="761" width="16.44140625" style="120" customWidth="1"/>
    <col min="762" max="762" width="17.77734375" style="120" customWidth="1"/>
    <col min="763" max="765" width="16.44140625" style="120" customWidth="1"/>
    <col min="766" max="766" width="17.77734375" style="120" bestFit="1" customWidth="1"/>
    <col min="767" max="767" width="16.44140625" style="120" customWidth="1"/>
    <col min="768" max="768" width="21" style="120" customWidth="1"/>
    <col min="769" max="769" width="16.44140625" style="120" customWidth="1"/>
    <col min="770" max="770" width="18.33203125" style="120" bestFit="1" customWidth="1"/>
    <col min="771" max="771" width="19.109375" style="120" customWidth="1"/>
    <col min="772" max="773" width="18.33203125" style="120" customWidth="1"/>
    <col min="774" max="774" width="8.77734375" style="120"/>
    <col min="775" max="776" width="16.77734375" style="120" customWidth="1"/>
    <col min="777" max="778" width="11.6640625" style="120" customWidth="1"/>
    <col min="779" max="779" width="8.77734375" style="120"/>
    <col min="780" max="780" width="18.33203125" style="120" customWidth="1"/>
    <col min="781" max="781" width="16.44140625" style="120" customWidth="1"/>
    <col min="782" max="782" width="9.44140625" style="120" bestFit="1" customWidth="1"/>
    <col min="783" max="783" width="17.6640625" style="120" customWidth="1"/>
    <col min="784" max="784" width="14.77734375" style="120" bestFit="1" customWidth="1"/>
    <col min="785" max="995" width="8.77734375" style="120"/>
    <col min="996" max="996" width="24.109375" style="120" customWidth="1"/>
    <col min="997" max="999" width="16.44140625" style="120" customWidth="1"/>
    <col min="1000" max="1000" width="18" style="120" customWidth="1"/>
    <col min="1001" max="1001" width="16.44140625" style="120" customWidth="1"/>
    <col min="1002" max="1002" width="4" style="120" customWidth="1"/>
    <col min="1003" max="1005" width="9.33203125" style="120" customWidth="1"/>
    <col min="1006" max="1006" width="22.44140625" style="120" customWidth="1"/>
    <col min="1007" max="1007" width="3.77734375" style="120" customWidth="1"/>
    <col min="1008" max="1008" width="16.44140625" style="120" customWidth="1"/>
    <col min="1009" max="1009" width="17.33203125" style="120" customWidth="1"/>
    <col min="1010" max="1013" width="16.44140625" style="120" customWidth="1"/>
    <col min="1014" max="1015" width="9.33203125" style="120" customWidth="1"/>
    <col min="1016" max="1016" width="18.77734375" style="120" customWidth="1"/>
    <col min="1017" max="1017" width="16.44140625" style="120" customWidth="1"/>
    <col min="1018" max="1018" width="17.77734375" style="120" customWidth="1"/>
    <col min="1019" max="1021" width="16.44140625" style="120" customWidth="1"/>
    <col min="1022" max="1022" width="17.77734375" style="120" bestFit="1" customWidth="1"/>
    <col min="1023" max="1023" width="16.44140625" style="120" customWidth="1"/>
    <col min="1024" max="1024" width="21" style="120" customWidth="1"/>
    <col min="1025" max="1025" width="16.44140625" style="120" customWidth="1"/>
    <col min="1026" max="1026" width="18.33203125" style="120" bestFit="1" customWidth="1"/>
    <col min="1027" max="1027" width="19.109375" style="120" customWidth="1"/>
    <col min="1028" max="1029" width="18.33203125" style="120" customWidth="1"/>
    <col min="1030" max="1030" width="8.77734375" style="120"/>
    <col min="1031" max="1032" width="16.77734375" style="120" customWidth="1"/>
    <col min="1033" max="1034" width="11.6640625" style="120" customWidth="1"/>
    <col min="1035" max="1035" width="8.77734375" style="120"/>
    <col min="1036" max="1036" width="18.33203125" style="120" customWidth="1"/>
    <col min="1037" max="1037" width="16.44140625" style="120" customWidth="1"/>
    <col min="1038" max="1038" width="9.44140625" style="120" bestFit="1" customWidth="1"/>
    <col min="1039" max="1039" width="17.6640625" style="120" customWidth="1"/>
    <col min="1040" max="1040" width="14.77734375" style="120" bestFit="1" customWidth="1"/>
    <col min="1041" max="1251" width="8.77734375" style="120"/>
    <col min="1252" max="1252" width="24.109375" style="120" customWidth="1"/>
    <col min="1253" max="1255" width="16.44140625" style="120" customWidth="1"/>
    <col min="1256" max="1256" width="18" style="120" customWidth="1"/>
    <col min="1257" max="1257" width="16.44140625" style="120" customWidth="1"/>
    <col min="1258" max="1258" width="4" style="120" customWidth="1"/>
    <col min="1259" max="1261" width="9.33203125" style="120" customWidth="1"/>
    <col min="1262" max="1262" width="22.44140625" style="120" customWidth="1"/>
    <col min="1263" max="1263" width="3.77734375" style="120" customWidth="1"/>
    <col min="1264" max="1264" width="16.44140625" style="120" customWidth="1"/>
    <col min="1265" max="1265" width="17.33203125" style="120" customWidth="1"/>
    <col min="1266" max="1269" width="16.44140625" style="120" customWidth="1"/>
    <col min="1270" max="1271" width="9.33203125" style="120" customWidth="1"/>
    <col min="1272" max="1272" width="18.77734375" style="120" customWidth="1"/>
    <col min="1273" max="1273" width="16.44140625" style="120" customWidth="1"/>
    <col min="1274" max="1274" width="17.77734375" style="120" customWidth="1"/>
    <col min="1275" max="1277" width="16.44140625" style="120" customWidth="1"/>
    <col min="1278" max="1278" width="17.77734375" style="120" bestFit="1" customWidth="1"/>
    <col min="1279" max="1279" width="16.44140625" style="120" customWidth="1"/>
    <col min="1280" max="1280" width="21" style="120" customWidth="1"/>
    <col min="1281" max="1281" width="16.44140625" style="120" customWidth="1"/>
    <col min="1282" max="1282" width="18.33203125" style="120" bestFit="1" customWidth="1"/>
    <col min="1283" max="1283" width="19.109375" style="120" customWidth="1"/>
    <col min="1284" max="1285" width="18.33203125" style="120" customWidth="1"/>
    <col min="1286" max="1286" width="8.77734375" style="120"/>
    <col min="1287" max="1288" width="16.77734375" style="120" customWidth="1"/>
    <col min="1289" max="1290" width="11.6640625" style="120" customWidth="1"/>
    <col min="1291" max="1291" width="8.77734375" style="120"/>
    <col min="1292" max="1292" width="18.33203125" style="120" customWidth="1"/>
    <col min="1293" max="1293" width="16.44140625" style="120" customWidth="1"/>
    <col min="1294" max="1294" width="9.44140625" style="120" bestFit="1" customWidth="1"/>
    <col min="1295" max="1295" width="17.6640625" style="120" customWidth="1"/>
    <col min="1296" max="1296" width="14.77734375" style="120" bestFit="1" customWidth="1"/>
    <col min="1297" max="1507" width="8.77734375" style="120"/>
    <col min="1508" max="1508" width="24.109375" style="120" customWidth="1"/>
    <col min="1509" max="1511" width="16.44140625" style="120" customWidth="1"/>
    <col min="1512" max="1512" width="18" style="120" customWidth="1"/>
    <col min="1513" max="1513" width="16.44140625" style="120" customWidth="1"/>
    <col min="1514" max="1514" width="4" style="120" customWidth="1"/>
    <col min="1515" max="1517" width="9.33203125" style="120" customWidth="1"/>
    <col min="1518" max="1518" width="22.44140625" style="120" customWidth="1"/>
    <col min="1519" max="1519" width="3.77734375" style="120" customWidth="1"/>
    <col min="1520" max="1520" width="16.44140625" style="120" customWidth="1"/>
    <col min="1521" max="1521" width="17.33203125" style="120" customWidth="1"/>
    <col min="1522" max="1525" width="16.44140625" style="120" customWidth="1"/>
    <col min="1526" max="1527" width="9.33203125" style="120" customWidth="1"/>
    <col min="1528" max="1528" width="18.77734375" style="120" customWidth="1"/>
    <col min="1529" max="1529" width="16.44140625" style="120" customWidth="1"/>
    <col min="1530" max="1530" width="17.77734375" style="120" customWidth="1"/>
    <col min="1531" max="1533" width="16.44140625" style="120" customWidth="1"/>
    <col min="1534" max="1534" width="17.77734375" style="120" bestFit="1" customWidth="1"/>
    <col min="1535" max="1535" width="16.44140625" style="120" customWidth="1"/>
    <col min="1536" max="1536" width="21" style="120" customWidth="1"/>
    <col min="1537" max="1537" width="16.44140625" style="120" customWidth="1"/>
    <col min="1538" max="1538" width="18.33203125" style="120" bestFit="1" customWidth="1"/>
    <col min="1539" max="1539" width="19.109375" style="120" customWidth="1"/>
    <col min="1540" max="1541" width="18.33203125" style="120" customWidth="1"/>
    <col min="1542" max="1542" width="8.77734375" style="120"/>
    <col min="1543" max="1544" width="16.77734375" style="120" customWidth="1"/>
    <col min="1545" max="1546" width="11.6640625" style="120" customWidth="1"/>
    <col min="1547" max="1547" width="8.77734375" style="120"/>
    <col min="1548" max="1548" width="18.33203125" style="120" customWidth="1"/>
    <col min="1549" max="1549" width="16.44140625" style="120" customWidth="1"/>
    <col min="1550" max="1550" width="9.44140625" style="120" bestFit="1" customWidth="1"/>
    <col min="1551" max="1551" width="17.6640625" style="120" customWidth="1"/>
    <col min="1552" max="1552" width="14.77734375" style="120" bestFit="1" customWidth="1"/>
    <col min="1553" max="1763" width="8.77734375" style="120"/>
    <col min="1764" max="1764" width="24.109375" style="120" customWidth="1"/>
    <col min="1765" max="1767" width="16.44140625" style="120" customWidth="1"/>
    <col min="1768" max="1768" width="18" style="120" customWidth="1"/>
    <col min="1769" max="1769" width="16.44140625" style="120" customWidth="1"/>
    <col min="1770" max="1770" width="4" style="120" customWidth="1"/>
    <col min="1771" max="1773" width="9.33203125" style="120" customWidth="1"/>
    <col min="1774" max="1774" width="22.44140625" style="120" customWidth="1"/>
    <col min="1775" max="1775" width="3.77734375" style="120" customWidth="1"/>
    <col min="1776" max="1776" width="16.44140625" style="120" customWidth="1"/>
    <col min="1777" max="1777" width="17.33203125" style="120" customWidth="1"/>
    <col min="1778" max="1781" width="16.44140625" style="120" customWidth="1"/>
    <col min="1782" max="1783" width="9.33203125" style="120" customWidth="1"/>
    <col min="1784" max="1784" width="18.77734375" style="120" customWidth="1"/>
    <col min="1785" max="1785" width="16.44140625" style="120" customWidth="1"/>
    <col min="1786" max="1786" width="17.77734375" style="120" customWidth="1"/>
    <col min="1787" max="1789" width="16.44140625" style="120" customWidth="1"/>
    <col min="1790" max="1790" width="17.77734375" style="120" bestFit="1" customWidth="1"/>
    <col min="1791" max="1791" width="16.44140625" style="120" customWidth="1"/>
    <col min="1792" max="1792" width="21" style="120" customWidth="1"/>
    <col min="1793" max="1793" width="16.44140625" style="120" customWidth="1"/>
    <col min="1794" max="1794" width="18.33203125" style="120" bestFit="1" customWidth="1"/>
    <col min="1795" max="1795" width="19.109375" style="120" customWidth="1"/>
    <col min="1796" max="1797" width="18.33203125" style="120" customWidth="1"/>
    <col min="1798" max="1798" width="8.77734375" style="120"/>
    <col min="1799" max="1800" width="16.77734375" style="120" customWidth="1"/>
    <col min="1801" max="1802" width="11.6640625" style="120" customWidth="1"/>
    <col min="1803" max="1803" width="8.77734375" style="120"/>
    <col min="1804" max="1804" width="18.33203125" style="120" customWidth="1"/>
    <col min="1805" max="1805" width="16.44140625" style="120" customWidth="1"/>
    <col min="1806" max="1806" width="9.44140625" style="120" bestFit="1" customWidth="1"/>
    <col min="1807" max="1807" width="17.6640625" style="120" customWidth="1"/>
    <col min="1808" max="1808" width="14.77734375" style="120" bestFit="1" customWidth="1"/>
    <col min="1809" max="2019" width="8.77734375" style="120"/>
    <col min="2020" max="2020" width="24.109375" style="120" customWidth="1"/>
    <col min="2021" max="2023" width="16.44140625" style="120" customWidth="1"/>
    <col min="2024" max="2024" width="18" style="120" customWidth="1"/>
    <col min="2025" max="2025" width="16.44140625" style="120" customWidth="1"/>
    <col min="2026" max="2026" width="4" style="120" customWidth="1"/>
    <col min="2027" max="2029" width="9.33203125" style="120" customWidth="1"/>
    <col min="2030" max="2030" width="22.44140625" style="120" customWidth="1"/>
    <col min="2031" max="2031" width="3.77734375" style="120" customWidth="1"/>
    <col min="2032" max="2032" width="16.44140625" style="120" customWidth="1"/>
    <col min="2033" max="2033" width="17.33203125" style="120" customWidth="1"/>
    <col min="2034" max="2037" width="16.44140625" style="120" customWidth="1"/>
    <col min="2038" max="2039" width="9.33203125" style="120" customWidth="1"/>
    <col min="2040" max="2040" width="18.77734375" style="120" customWidth="1"/>
    <col min="2041" max="2041" width="16.44140625" style="120" customWidth="1"/>
    <col min="2042" max="2042" width="17.77734375" style="120" customWidth="1"/>
    <col min="2043" max="2045" width="16.44140625" style="120" customWidth="1"/>
    <col min="2046" max="2046" width="17.77734375" style="120" bestFit="1" customWidth="1"/>
    <col min="2047" max="2047" width="16.44140625" style="120" customWidth="1"/>
    <col min="2048" max="2048" width="21" style="120" customWidth="1"/>
    <col min="2049" max="2049" width="16.44140625" style="120" customWidth="1"/>
    <col min="2050" max="2050" width="18.33203125" style="120" bestFit="1" customWidth="1"/>
    <col min="2051" max="2051" width="19.109375" style="120" customWidth="1"/>
    <col min="2052" max="2053" width="18.33203125" style="120" customWidth="1"/>
    <col min="2054" max="2054" width="8.77734375" style="120"/>
    <col min="2055" max="2056" width="16.77734375" style="120" customWidth="1"/>
    <col min="2057" max="2058" width="11.6640625" style="120" customWidth="1"/>
    <col min="2059" max="2059" width="8.77734375" style="120"/>
    <col min="2060" max="2060" width="18.33203125" style="120" customWidth="1"/>
    <col min="2061" max="2061" width="16.44140625" style="120" customWidth="1"/>
    <col min="2062" max="2062" width="9.44140625" style="120" bestFit="1" customWidth="1"/>
    <col min="2063" max="2063" width="17.6640625" style="120" customWidth="1"/>
    <col min="2064" max="2064" width="14.77734375" style="120" bestFit="1" customWidth="1"/>
    <col min="2065" max="2275" width="8.77734375" style="120"/>
    <col min="2276" max="2276" width="24.109375" style="120" customWidth="1"/>
    <col min="2277" max="2279" width="16.44140625" style="120" customWidth="1"/>
    <col min="2280" max="2280" width="18" style="120" customWidth="1"/>
    <col min="2281" max="2281" width="16.44140625" style="120" customWidth="1"/>
    <col min="2282" max="2282" width="4" style="120" customWidth="1"/>
    <col min="2283" max="2285" width="9.33203125" style="120" customWidth="1"/>
    <col min="2286" max="2286" width="22.44140625" style="120" customWidth="1"/>
    <col min="2287" max="2287" width="3.77734375" style="120" customWidth="1"/>
    <col min="2288" max="2288" width="16.44140625" style="120" customWidth="1"/>
    <col min="2289" max="2289" width="17.33203125" style="120" customWidth="1"/>
    <col min="2290" max="2293" width="16.44140625" style="120" customWidth="1"/>
    <col min="2294" max="2295" width="9.33203125" style="120" customWidth="1"/>
    <col min="2296" max="2296" width="18.77734375" style="120" customWidth="1"/>
    <col min="2297" max="2297" width="16.44140625" style="120" customWidth="1"/>
    <col min="2298" max="2298" width="17.77734375" style="120" customWidth="1"/>
    <col min="2299" max="2301" width="16.44140625" style="120" customWidth="1"/>
    <col min="2302" max="2302" width="17.77734375" style="120" bestFit="1" customWidth="1"/>
    <col min="2303" max="2303" width="16.44140625" style="120" customWidth="1"/>
    <col min="2304" max="2304" width="21" style="120" customWidth="1"/>
    <col min="2305" max="2305" width="16.44140625" style="120" customWidth="1"/>
    <col min="2306" max="2306" width="18.33203125" style="120" bestFit="1" customWidth="1"/>
    <col min="2307" max="2307" width="19.109375" style="120" customWidth="1"/>
    <col min="2308" max="2309" width="18.33203125" style="120" customWidth="1"/>
    <col min="2310" max="2310" width="8.77734375" style="120"/>
    <col min="2311" max="2312" width="16.77734375" style="120" customWidth="1"/>
    <col min="2313" max="2314" width="11.6640625" style="120" customWidth="1"/>
    <col min="2315" max="2315" width="8.77734375" style="120"/>
    <col min="2316" max="2316" width="18.33203125" style="120" customWidth="1"/>
    <col min="2317" max="2317" width="16.44140625" style="120" customWidth="1"/>
    <col min="2318" max="2318" width="9.44140625" style="120" bestFit="1" customWidth="1"/>
    <col min="2319" max="2319" width="17.6640625" style="120" customWidth="1"/>
    <col min="2320" max="2320" width="14.77734375" style="120" bestFit="1" customWidth="1"/>
    <col min="2321" max="2531" width="8.77734375" style="120"/>
    <col min="2532" max="2532" width="24.109375" style="120" customWidth="1"/>
    <col min="2533" max="2535" width="16.44140625" style="120" customWidth="1"/>
    <col min="2536" max="2536" width="18" style="120" customWidth="1"/>
    <col min="2537" max="2537" width="16.44140625" style="120" customWidth="1"/>
    <col min="2538" max="2538" width="4" style="120" customWidth="1"/>
    <col min="2539" max="2541" width="9.33203125" style="120" customWidth="1"/>
    <col min="2542" max="2542" width="22.44140625" style="120" customWidth="1"/>
    <col min="2543" max="2543" width="3.77734375" style="120" customWidth="1"/>
    <col min="2544" max="2544" width="16.44140625" style="120" customWidth="1"/>
    <col min="2545" max="2545" width="17.33203125" style="120" customWidth="1"/>
    <col min="2546" max="2549" width="16.44140625" style="120" customWidth="1"/>
    <col min="2550" max="2551" width="9.33203125" style="120" customWidth="1"/>
    <col min="2552" max="2552" width="18.77734375" style="120" customWidth="1"/>
    <col min="2553" max="2553" width="16.44140625" style="120" customWidth="1"/>
    <col min="2554" max="2554" width="17.77734375" style="120" customWidth="1"/>
    <col min="2555" max="2557" width="16.44140625" style="120" customWidth="1"/>
    <col min="2558" max="2558" width="17.77734375" style="120" bestFit="1" customWidth="1"/>
    <col min="2559" max="2559" width="16.44140625" style="120" customWidth="1"/>
    <col min="2560" max="2560" width="21" style="120" customWidth="1"/>
    <col min="2561" max="2561" width="16.44140625" style="120" customWidth="1"/>
    <col min="2562" max="2562" width="18.33203125" style="120" bestFit="1" customWidth="1"/>
    <col min="2563" max="2563" width="19.109375" style="120" customWidth="1"/>
    <col min="2564" max="2565" width="18.33203125" style="120" customWidth="1"/>
    <col min="2566" max="2566" width="8.77734375" style="120"/>
    <col min="2567" max="2568" width="16.77734375" style="120" customWidth="1"/>
    <col min="2569" max="2570" width="11.6640625" style="120" customWidth="1"/>
    <col min="2571" max="2571" width="8.77734375" style="120"/>
    <col min="2572" max="2572" width="18.33203125" style="120" customWidth="1"/>
    <col min="2573" max="2573" width="16.44140625" style="120" customWidth="1"/>
    <col min="2574" max="2574" width="9.44140625" style="120" bestFit="1" customWidth="1"/>
    <col min="2575" max="2575" width="17.6640625" style="120" customWidth="1"/>
    <col min="2576" max="2576" width="14.77734375" style="120" bestFit="1" customWidth="1"/>
    <col min="2577" max="2787" width="8.77734375" style="120"/>
    <col min="2788" max="2788" width="24.109375" style="120" customWidth="1"/>
    <col min="2789" max="2791" width="16.44140625" style="120" customWidth="1"/>
    <col min="2792" max="2792" width="18" style="120" customWidth="1"/>
    <col min="2793" max="2793" width="16.44140625" style="120" customWidth="1"/>
    <col min="2794" max="2794" width="4" style="120" customWidth="1"/>
    <col min="2795" max="2797" width="9.33203125" style="120" customWidth="1"/>
    <col min="2798" max="2798" width="22.44140625" style="120" customWidth="1"/>
    <col min="2799" max="2799" width="3.77734375" style="120" customWidth="1"/>
    <col min="2800" max="2800" width="16.44140625" style="120" customWidth="1"/>
    <col min="2801" max="2801" width="17.33203125" style="120" customWidth="1"/>
    <col min="2802" max="2805" width="16.44140625" style="120" customWidth="1"/>
    <col min="2806" max="2807" width="9.33203125" style="120" customWidth="1"/>
    <col min="2808" max="2808" width="18.77734375" style="120" customWidth="1"/>
    <col min="2809" max="2809" width="16.44140625" style="120" customWidth="1"/>
    <col min="2810" max="2810" width="17.77734375" style="120" customWidth="1"/>
    <col min="2811" max="2813" width="16.44140625" style="120" customWidth="1"/>
    <col min="2814" max="2814" width="17.77734375" style="120" bestFit="1" customWidth="1"/>
    <col min="2815" max="2815" width="16.44140625" style="120" customWidth="1"/>
    <col min="2816" max="2816" width="21" style="120" customWidth="1"/>
    <col min="2817" max="2817" width="16.44140625" style="120" customWidth="1"/>
    <col min="2818" max="2818" width="18.33203125" style="120" bestFit="1" customWidth="1"/>
    <col min="2819" max="2819" width="19.109375" style="120" customWidth="1"/>
    <col min="2820" max="2821" width="18.33203125" style="120" customWidth="1"/>
    <col min="2822" max="2822" width="8.77734375" style="120"/>
    <col min="2823" max="2824" width="16.77734375" style="120" customWidth="1"/>
    <col min="2825" max="2826" width="11.6640625" style="120" customWidth="1"/>
    <col min="2827" max="2827" width="8.77734375" style="120"/>
    <col min="2828" max="2828" width="18.33203125" style="120" customWidth="1"/>
    <col min="2829" max="2829" width="16.44140625" style="120" customWidth="1"/>
    <col min="2830" max="2830" width="9.44140625" style="120" bestFit="1" customWidth="1"/>
    <col min="2831" max="2831" width="17.6640625" style="120" customWidth="1"/>
    <col min="2832" max="2832" width="14.77734375" style="120" bestFit="1" customWidth="1"/>
    <col min="2833" max="3043" width="8.77734375" style="120"/>
    <col min="3044" max="3044" width="24.109375" style="120" customWidth="1"/>
    <col min="3045" max="3047" width="16.44140625" style="120" customWidth="1"/>
    <col min="3048" max="3048" width="18" style="120" customWidth="1"/>
    <col min="3049" max="3049" width="16.44140625" style="120" customWidth="1"/>
    <col min="3050" max="3050" width="4" style="120" customWidth="1"/>
    <col min="3051" max="3053" width="9.33203125" style="120" customWidth="1"/>
    <col min="3054" max="3054" width="22.44140625" style="120" customWidth="1"/>
    <col min="3055" max="3055" width="3.77734375" style="120" customWidth="1"/>
    <col min="3056" max="3056" width="16.44140625" style="120" customWidth="1"/>
    <col min="3057" max="3057" width="17.33203125" style="120" customWidth="1"/>
    <col min="3058" max="3061" width="16.44140625" style="120" customWidth="1"/>
    <col min="3062" max="3063" width="9.33203125" style="120" customWidth="1"/>
    <col min="3064" max="3064" width="18.77734375" style="120" customWidth="1"/>
    <col min="3065" max="3065" width="16.44140625" style="120" customWidth="1"/>
    <col min="3066" max="3066" width="17.77734375" style="120" customWidth="1"/>
    <col min="3067" max="3069" width="16.44140625" style="120" customWidth="1"/>
    <col min="3070" max="3070" width="17.77734375" style="120" bestFit="1" customWidth="1"/>
    <col min="3071" max="3071" width="16.44140625" style="120" customWidth="1"/>
    <col min="3072" max="3072" width="21" style="120" customWidth="1"/>
    <col min="3073" max="3073" width="16.44140625" style="120" customWidth="1"/>
    <col min="3074" max="3074" width="18.33203125" style="120" bestFit="1" customWidth="1"/>
    <col min="3075" max="3075" width="19.109375" style="120" customWidth="1"/>
    <col min="3076" max="3077" width="18.33203125" style="120" customWidth="1"/>
    <col min="3078" max="3078" width="8.77734375" style="120"/>
    <col min="3079" max="3080" width="16.77734375" style="120" customWidth="1"/>
    <col min="3081" max="3082" width="11.6640625" style="120" customWidth="1"/>
    <col min="3083" max="3083" width="8.77734375" style="120"/>
    <col min="3084" max="3084" width="18.33203125" style="120" customWidth="1"/>
    <col min="3085" max="3085" width="16.44140625" style="120" customWidth="1"/>
    <col min="3086" max="3086" width="9.44140625" style="120" bestFit="1" customWidth="1"/>
    <col min="3087" max="3087" width="17.6640625" style="120" customWidth="1"/>
    <col min="3088" max="3088" width="14.77734375" style="120" bestFit="1" customWidth="1"/>
    <col min="3089" max="3299" width="8.77734375" style="120"/>
    <col min="3300" max="3300" width="24.109375" style="120" customWidth="1"/>
    <col min="3301" max="3303" width="16.44140625" style="120" customWidth="1"/>
    <col min="3304" max="3304" width="18" style="120" customWidth="1"/>
    <col min="3305" max="3305" width="16.44140625" style="120" customWidth="1"/>
    <col min="3306" max="3306" width="4" style="120" customWidth="1"/>
    <col min="3307" max="3309" width="9.33203125" style="120" customWidth="1"/>
    <col min="3310" max="3310" width="22.44140625" style="120" customWidth="1"/>
    <col min="3311" max="3311" width="3.77734375" style="120" customWidth="1"/>
    <col min="3312" max="3312" width="16.44140625" style="120" customWidth="1"/>
    <col min="3313" max="3313" width="17.33203125" style="120" customWidth="1"/>
    <col min="3314" max="3317" width="16.44140625" style="120" customWidth="1"/>
    <col min="3318" max="3319" width="9.33203125" style="120" customWidth="1"/>
    <col min="3320" max="3320" width="18.77734375" style="120" customWidth="1"/>
    <col min="3321" max="3321" width="16.44140625" style="120" customWidth="1"/>
    <col min="3322" max="3322" width="17.77734375" style="120" customWidth="1"/>
    <col min="3323" max="3325" width="16.44140625" style="120" customWidth="1"/>
    <col min="3326" max="3326" width="17.77734375" style="120" bestFit="1" customWidth="1"/>
    <col min="3327" max="3327" width="16.44140625" style="120" customWidth="1"/>
    <col min="3328" max="3328" width="21" style="120" customWidth="1"/>
    <col min="3329" max="3329" width="16.44140625" style="120" customWidth="1"/>
    <col min="3330" max="3330" width="18.33203125" style="120" bestFit="1" customWidth="1"/>
    <col min="3331" max="3331" width="19.109375" style="120" customWidth="1"/>
    <col min="3332" max="3333" width="18.33203125" style="120" customWidth="1"/>
    <col min="3334" max="3334" width="8.77734375" style="120"/>
    <col min="3335" max="3336" width="16.77734375" style="120" customWidth="1"/>
    <col min="3337" max="3338" width="11.6640625" style="120" customWidth="1"/>
    <col min="3339" max="3339" width="8.77734375" style="120"/>
    <col min="3340" max="3340" width="18.33203125" style="120" customWidth="1"/>
    <col min="3341" max="3341" width="16.44140625" style="120" customWidth="1"/>
    <col min="3342" max="3342" width="9.44140625" style="120" bestFit="1" customWidth="1"/>
    <col min="3343" max="3343" width="17.6640625" style="120" customWidth="1"/>
    <col min="3344" max="3344" width="14.77734375" style="120" bestFit="1" customWidth="1"/>
    <col min="3345" max="3555" width="8.77734375" style="120"/>
    <col min="3556" max="3556" width="24.109375" style="120" customWidth="1"/>
    <col min="3557" max="3559" width="16.44140625" style="120" customWidth="1"/>
    <col min="3560" max="3560" width="18" style="120" customWidth="1"/>
    <col min="3561" max="3561" width="16.44140625" style="120" customWidth="1"/>
    <col min="3562" max="3562" width="4" style="120" customWidth="1"/>
    <col min="3563" max="3565" width="9.33203125" style="120" customWidth="1"/>
    <col min="3566" max="3566" width="22.44140625" style="120" customWidth="1"/>
    <col min="3567" max="3567" width="3.77734375" style="120" customWidth="1"/>
    <col min="3568" max="3568" width="16.44140625" style="120" customWidth="1"/>
    <col min="3569" max="3569" width="17.33203125" style="120" customWidth="1"/>
    <col min="3570" max="3573" width="16.44140625" style="120" customWidth="1"/>
    <col min="3574" max="3575" width="9.33203125" style="120" customWidth="1"/>
    <col min="3576" max="3576" width="18.77734375" style="120" customWidth="1"/>
    <col min="3577" max="3577" width="16.44140625" style="120" customWidth="1"/>
    <col min="3578" max="3578" width="17.77734375" style="120" customWidth="1"/>
    <col min="3579" max="3581" width="16.44140625" style="120" customWidth="1"/>
    <col min="3582" max="3582" width="17.77734375" style="120" bestFit="1" customWidth="1"/>
    <col min="3583" max="3583" width="16.44140625" style="120" customWidth="1"/>
    <col min="3584" max="3584" width="21" style="120" customWidth="1"/>
    <col min="3585" max="3585" width="16.44140625" style="120" customWidth="1"/>
    <col min="3586" max="3586" width="18.33203125" style="120" bestFit="1" customWidth="1"/>
    <col min="3587" max="3587" width="19.109375" style="120" customWidth="1"/>
    <col min="3588" max="3589" width="18.33203125" style="120" customWidth="1"/>
    <col min="3590" max="3590" width="8.77734375" style="120"/>
    <col min="3591" max="3592" width="16.77734375" style="120" customWidth="1"/>
    <col min="3593" max="3594" width="11.6640625" style="120" customWidth="1"/>
    <col min="3595" max="3595" width="8.77734375" style="120"/>
    <col min="3596" max="3596" width="18.33203125" style="120" customWidth="1"/>
    <col min="3597" max="3597" width="16.44140625" style="120" customWidth="1"/>
    <col min="3598" max="3598" width="9.44140625" style="120" bestFit="1" customWidth="1"/>
    <col min="3599" max="3599" width="17.6640625" style="120" customWidth="1"/>
    <col min="3600" max="3600" width="14.77734375" style="120" bestFit="1" customWidth="1"/>
    <col min="3601" max="3811" width="8.77734375" style="120"/>
    <col min="3812" max="3812" width="24.109375" style="120" customWidth="1"/>
    <col min="3813" max="3815" width="16.44140625" style="120" customWidth="1"/>
    <col min="3816" max="3816" width="18" style="120" customWidth="1"/>
    <col min="3817" max="3817" width="16.44140625" style="120" customWidth="1"/>
    <col min="3818" max="3818" width="4" style="120" customWidth="1"/>
    <col min="3819" max="3821" width="9.33203125" style="120" customWidth="1"/>
    <col min="3822" max="3822" width="22.44140625" style="120" customWidth="1"/>
    <col min="3823" max="3823" width="3.77734375" style="120" customWidth="1"/>
    <col min="3824" max="3824" width="16.44140625" style="120" customWidth="1"/>
    <col min="3825" max="3825" width="17.33203125" style="120" customWidth="1"/>
    <col min="3826" max="3829" width="16.44140625" style="120" customWidth="1"/>
    <col min="3830" max="3831" width="9.33203125" style="120" customWidth="1"/>
    <col min="3832" max="3832" width="18.77734375" style="120" customWidth="1"/>
    <col min="3833" max="3833" width="16.44140625" style="120" customWidth="1"/>
    <col min="3834" max="3834" width="17.77734375" style="120" customWidth="1"/>
    <col min="3835" max="3837" width="16.44140625" style="120" customWidth="1"/>
    <col min="3838" max="3838" width="17.77734375" style="120" bestFit="1" customWidth="1"/>
    <col min="3839" max="3839" width="16.44140625" style="120" customWidth="1"/>
    <col min="3840" max="3840" width="21" style="120" customWidth="1"/>
    <col min="3841" max="3841" width="16.44140625" style="120" customWidth="1"/>
    <col min="3842" max="3842" width="18.33203125" style="120" bestFit="1" customWidth="1"/>
    <col min="3843" max="3843" width="19.109375" style="120" customWidth="1"/>
    <col min="3844" max="3845" width="18.33203125" style="120" customWidth="1"/>
    <col min="3846" max="3846" width="8.77734375" style="120"/>
    <col min="3847" max="3848" width="16.77734375" style="120" customWidth="1"/>
    <col min="3849" max="3850" width="11.6640625" style="120" customWidth="1"/>
    <col min="3851" max="3851" width="8.77734375" style="120"/>
    <col min="3852" max="3852" width="18.33203125" style="120" customWidth="1"/>
    <col min="3853" max="3853" width="16.44140625" style="120" customWidth="1"/>
    <col min="3854" max="3854" width="9.44140625" style="120" bestFit="1" customWidth="1"/>
    <col min="3855" max="3855" width="17.6640625" style="120" customWidth="1"/>
    <col min="3856" max="3856" width="14.77734375" style="120" bestFit="1" customWidth="1"/>
    <col min="3857" max="4067" width="8.77734375" style="120"/>
    <col min="4068" max="4068" width="24.109375" style="120" customWidth="1"/>
    <col min="4069" max="4071" width="16.44140625" style="120" customWidth="1"/>
    <col min="4072" max="4072" width="18" style="120" customWidth="1"/>
    <col min="4073" max="4073" width="16.44140625" style="120" customWidth="1"/>
    <col min="4074" max="4074" width="4" style="120" customWidth="1"/>
    <col min="4075" max="4077" width="9.33203125" style="120" customWidth="1"/>
    <col min="4078" max="4078" width="22.44140625" style="120" customWidth="1"/>
    <col min="4079" max="4079" width="3.77734375" style="120" customWidth="1"/>
    <col min="4080" max="4080" width="16.44140625" style="120" customWidth="1"/>
    <col min="4081" max="4081" width="17.33203125" style="120" customWidth="1"/>
    <col min="4082" max="4085" width="16.44140625" style="120" customWidth="1"/>
    <col min="4086" max="4087" width="9.33203125" style="120" customWidth="1"/>
    <col min="4088" max="4088" width="18.77734375" style="120" customWidth="1"/>
    <col min="4089" max="4089" width="16.44140625" style="120" customWidth="1"/>
    <col min="4090" max="4090" width="17.77734375" style="120" customWidth="1"/>
    <col min="4091" max="4093" width="16.44140625" style="120" customWidth="1"/>
    <col min="4094" max="4094" width="17.77734375" style="120" bestFit="1" customWidth="1"/>
    <col min="4095" max="4095" width="16.44140625" style="120" customWidth="1"/>
    <col min="4096" max="4096" width="21" style="120" customWidth="1"/>
    <col min="4097" max="4097" width="16.44140625" style="120" customWidth="1"/>
    <col min="4098" max="4098" width="18.33203125" style="120" bestFit="1" customWidth="1"/>
    <col min="4099" max="4099" width="19.109375" style="120" customWidth="1"/>
    <col min="4100" max="4101" width="18.33203125" style="120" customWidth="1"/>
    <col min="4102" max="4102" width="8.77734375" style="120"/>
    <col min="4103" max="4104" width="16.77734375" style="120" customWidth="1"/>
    <col min="4105" max="4106" width="11.6640625" style="120" customWidth="1"/>
    <col min="4107" max="4107" width="8.77734375" style="120"/>
    <col min="4108" max="4108" width="18.33203125" style="120" customWidth="1"/>
    <col min="4109" max="4109" width="16.44140625" style="120" customWidth="1"/>
    <col min="4110" max="4110" width="9.44140625" style="120" bestFit="1" customWidth="1"/>
    <col min="4111" max="4111" width="17.6640625" style="120" customWidth="1"/>
    <col min="4112" max="4112" width="14.77734375" style="120" bestFit="1" customWidth="1"/>
    <col min="4113" max="4323" width="8.77734375" style="120"/>
    <col min="4324" max="4324" width="24.109375" style="120" customWidth="1"/>
    <col min="4325" max="4327" width="16.44140625" style="120" customWidth="1"/>
    <col min="4328" max="4328" width="18" style="120" customWidth="1"/>
    <col min="4329" max="4329" width="16.44140625" style="120" customWidth="1"/>
    <col min="4330" max="4330" width="4" style="120" customWidth="1"/>
    <col min="4331" max="4333" width="9.33203125" style="120" customWidth="1"/>
    <col min="4334" max="4334" width="22.44140625" style="120" customWidth="1"/>
    <col min="4335" max="4335" width="3.77734375" style="120" customWidth="1"/>
    <col min="4336" max="4336" width="16.44140625" style="120" customWidth="1"/>
    <col min="4337" max="4337" width="17.33203125" style="120" customWidth="1"/>
    <col min="4338" max="4341" width="16.44140625" style="120" customWidth="1"/>
    <col min="4342" max="4343" width="9.33203125" style="120" customWidth="1"/>
    <col min="4344" max="4344" width="18.77734375" style="120" customWidth="1"/>
    <col min="4345" max="4345" width="16.44140625" style="120" customWidth="1"/>
    <col min="4346" max="4346" width="17.77734375" style="120" customWidth="1"/>
    <col min="4347" max="4349" width="16.44140625" style="120" customWidth="1"/>
    <col min="4350" max="4350" width="17.77734375" style="120" bestFit="1" customWidth="1"/>
    <col min="4351" max="4351" width="16.44140625" style="120" customWidth="1"/>
    <col min="4352" max="4352" width="21" style="120" customWidth="1"/>
    <col min="4353" max="4353" width="16.44140625" style="120" customWidth="1"/>
    <col min="4354" max="4354" width="18.33203125" style="120" bestFit="1" customWidth="1"/>
    <col min="4355" max="4355" width="19.109375" style="120" customWidth="1"/>
    <col min="4356" max="4357" width="18.33203125" style="120" customWidth="1"/>
    <col min="4358" max="4358" width="8.77734375" style="120"/>
    <col min="4359" max="4360" width="16.77734375" style="120" customWidth="1"/>
    <col min="4361" max="4362" width="11.6640625" style="120" customWidth="1"/>
    <col min="4363" max="4363" width="8.77734375" style="120"/>
    <col min="4364" max="4364" width="18.33203125" style="120" customWidth="1"/>
    <col min="4365" max="4365" width="16.44140625" style="120" customWidth="1"/>
    <col min="4366" max="4366" width="9.44140625" style="120" bestFit="1" customWidth="1"/>
    <col min="4367" max="4367" width="17.6640625" style="120" customWidth="1"/>
    <col min="4368" max="4368" width="14.77734375" style="120" bestFit="1" customWidth="1"/>
    <col min="4369" max="4579" width="8.77734375" style="120"/>
    <col min="4580" max="4580" width="24.109375" style="120" customWidth="1"/>
    <col min="4581" max="4583" width="16.44140625" style="120" customWidth="1"/>
    <col min="4584" max="4584" width="18" style="120" customWidth="1"/>
    <col min="4585" max="4585" width="16.44140625" style="120" customWidth="1"/>
    <col min="4586" max="4586" width="4" style="120" customWidth="1"/>
    <col min="4587" max="4589" width="9.33203125" style="120" customWidth="1"/>
    <col min="4590" max="4590" width="22.44140625" style="120" customWidth="1"/>
    <col min="4591" max="4591" width="3.77734375" style="120" customWidth="1"/>
    <col min="4592" max="4592" width="16.44140625" style="120" customWidth="1"/>
    <col min="4593" max="4593" width="17.33203125" style="120" customWidth="1"/>
    <col min="4594" max="4597" width="16.44140625" style="120" customWidth="1"/>
    <col min="4598" max="4599" width="9.33203125" style="120" customWidth="1"/>
    <col min="4600" max="4600" width="18.77734375" style="120" customWidth="1"/>
    <col min="4601" max="4601" width="16.44140625" style="120" customWidth="1"/>
    <col min="4602" max="4602" width="17.77734375" style="120" customWidth="1"/>
    <col min="4603" max="4605" width="16.44140625" style="120" customWidth="1"/>
    <col min="4606" max="4606" width="17.77734375" style="120" bestFit="1" customWidth="1"/>
    <col min="4607" max="4607" width="16.44140625" style="120" customWidth="1"/>
    <col min="4608" max="4608" width="21" style="120" customWidth="1"/>
    <col min="4609" max="4609" width="16.44140625" style="120" customWidth="1"/>
    <col min="4610" max="4610" width="18.33203125" style="120" bestFit="1" customWidth="1"/>
    <col min="4611" max="4611" width="19.109375" style="120" customWidth="1"/>
    <col min="4612" max="4613" width="18.33203125" style="120" customWidth="1"/>
    <col min="4614" max="4614" width="8.77734375" style="120"/>
    <col min="4615" max="4616" width="16.77734375" style="120" customWidth="1"/>
    <col min="4617" max="4618" width="11.6640625" style="120" customWidth="1"/>
    <col min="4619" max="4619" width="8.77734375" style="120"/>
    <col min="4620" max="4620" width="18.33203125" style="120" customWidth="1"/>
    <col min="4621" max="4621" width="16.44140625" style="120" customWidth="1"/>
    <col min="4622" max="4622" width="9.44140625" style="120" bestFit="1" customWidth="1"/>
    <col min="4623" max="4623" width="17.6640625" style="120" customWidth="1"/>
    <col min="4624" max="4624" width="14.77734375" style="120" bestFit="1" customWidth="1"/>
    <col min="4625" max="4835" width="8.77734375" style="120"/>
    <col min="4836" max="4836" width="24.109375" style="120" customWidth="1"/>
    <col min="4837" max="4839" width="16.44140625" style="120" customWidth="1"/>
    <col min="4840" max="4840" width="18" style="120" customWidth="1"/>
    <col min="4841" max="4841" width="16.44140625" style="120" customWidth="1"/>
    <col min="4842" max="4842" width="4" style="120" customWidth="1"/>
    <col min="4843" max="4845" width="9.33203125" style="120" customWidth="1"/>
    <col min="4846" max="4846" width="22.44140625" style="120" customWidth="1"/>
    <col min="4847" max="4847" width="3.77734375" style="120" customWidth="1"/>
    <col min="4848" max="4848" width="16.44140625" style="120" customWidth="1"/>
    <col min="4849" max="4849" width="17.33203125" style="120" customWidth="1"/>
    <col min="4850" max="4853" width="16.44140625" style="120" customWidth="1"/>
    <col min="4854" max="4855" width="9.33203125" style="120" customWidth="1"/>
    <col min="4856" max="4856" width="18.77734375" style="120" customWidth="1"/>
    <col min="4857" max="4857" width="16.44140625" style="120" customWidth="1"/>
    <col min="4858" max="4858" width="17.77734375" style="120" customWidth="1"/>
    <col min="4859" max="4861" width="16.44140625" style="120" customWidth="1"/>
    <col min="4862" max="4862" width="17.77734375" style="120" bestFit="1" customWidth="1"/>
    <col min="4863" max="4863" width="16.44140625" style="120" customWidth="1"/>
    <col min="4864" max="4864" width="21" style="120" customWidth="1"/>
    <col min="4865" max="4865" width="16.44140625" style="120" customWidth="1"/>
    <col min="4866" max="4866" width="18.33203125" style="120" bestFit="1" customWidth="1"/>
    <col min="4867" max="4867" width="19.109375" style="120" customWidth="1"/>
    <col min="4868" max="4869" width="18.33203125" style="120" customWidth="1"/>
    <col min="4870" max="4870" width="8.77734375" style="120"/>
    <col min="4871" max="4872" width="16.77734375" style="120" customWidth="1"/>
    <col min="4873" max="4874" width="11.6640625" style="120" customWidth="1"/>
    <col min="4875" max="4875" width="8.77734375" style="120"/>
    <col min="4876" max="4876" width="18.33203125" style="120" customWidth="1"/>
    <col min="4877" max="4877" width="16.44140625" style="120" customWidth="1"/>
    <col min="4878" max="4878" width="9.44140625" style="120" bestFit="1" customWidth="1"/>
    <col min="4879" max="4879" width="17.6640625" style="120" customWidth="1"/>
    <col min="4880" max="4880" width="14.77734375" style="120" bestFit="1" customWidth="1"/>
    <col min="4881" max="5091" width="8.77734375" style="120"/>
    <col min="5092" max="5092" width="24.109375" style="120" customWidth="1"/>
    <col min="5093" max="5095" width="16.44140625" style="120" customWidth="1"/>
    <col min="5096" max="5096" width="18" style="120" customWidth="1"/>
    <col min="5097" max="5097" width="16.44140625" style="120" customWidth="1"/>
    <col min="5098" max="5098" width="4" style="120" customWidth="1"/>
    <col min="5099" max="5101" width="9.33203125" style="120" customWidth="1"/>
    <col min="5102" max="5102" width="22.44140625" style="120" customWidth="1"/>
    <col min="5103" max="5103" width="3.77734375" style="120" customWidth="1"/>
    <col min="5104" max="5104" width="16.44140625" style="120" customWidth="1"/>
    <col min="5105" max="5105" width="17.33203125" style="120" customWidth="1"/>
    <col min="5106" max="5109" width="16.44140625" style="120" customWidth="1"/>
    <col min="5110" max="5111" width="9.33203125" style="120" customWidth="1"/>
    <col min="5112" max="5112" width="18.77734375" style="120" customWidth="1"/>
    <col min="5113" max="5113" width="16.44140625" style="120" customWidth="1"/>
    <col min="5114" max="5114" width="17.77734375" style="120" customWidth="1"/>
    <col min="5115" max="5117" width="16.44140625" style="120" customWidth="1"/>
    <col min="5118" max="5118" width="17.77734375" style="120" bestFit="1" customWidth="1"/>
    <col min="5119" max="5119" width="16.44140625" style="120" customWidth="1"/>
    <col min="5120" max="5120" width="21" style="120" customWidth="1"/>
    <col min="5121" max="5121" width="16.44140625" style="120" customWidth="1"/>
    <col min="5122" max="5122" width="18.33203125" style="120" bestFit="1" customWidth="1"/>
    <col min="5123" max="5123" width="19.109375" style="120" customWidth="1"/>
    <col min="5124" max="5125" width="18.33203125" style="120" customWidth="1"/>
    <col min="5126" max="5126" width="8.77734375" style="120"/>
    <col min="5127" max="5128" width="16.77734375" style="120" customWidth="1"/>
    <col min="5129" max="5130" width="11.6640625" style="120" customWidth="1"/>
    <col min="5131" max="5131" width="8.77734375" style="120"/>
    <col min="5132" max="5132" width="18.33203125" style="120" customWidth="1"/>
    <col min="5133" max="5133" width="16.44140625" style="120" customWidth="1"/>
    <col min="5134" max="5134" width="9.44140625" style="120" bestFit="1" customWidth="1"/>
    <col min="5135" max="5135" width="17.6640625" style="120" customWidth="1"/>
    <col min="5136" max="5136" width="14.77734375" style="120" bestFit="1" customWidth="1"/>
    <col min="5137" max="5347" width="8.77734375" style="120"/>
    <col min="5348" max="5348" width="24.109375" style="120" customWidth="1"/>
    <col min="5349" max="5351" width="16.44140625" style="120" customWidth="1"/>
    <col min="5352" max="5352" width="18" style="120" customWidth="1"/>
    <col min="5353" max="5353" width="16.44140625" style="120" customWidth="1"/>
    <col min="5354" max="5354" width="4" style="120" customWidth="1"/>
    <col min="5355" max="5357" width="9.33203125" style="120" customWidth="1"/>
    <col min="5358" max="5358" width="22.44140625" style="120" customWidth="1"/>
    <col min="5359" max="5359" width="3.77734375" style="120" customWidth="1"/>
    <col min="5360" max="5360" width="16.44140625" style="120" customWidth="1"/>
    <col min="5361" max="5361" width="17.33203125" style="120" customWidth="1"/>
    <col min="5362" max="5365" width="16.44140625" style="120" customWidth="1"/>
    <col min="5366" max="5367" width="9.33203125" style="120" customWidth="1"/>
    <col min="5368" max="5368" width="18.77734375" style="120" customWidth="1"/>
    <col min="5369" max="5369" width="16.44140625" style="120" customWidth="1"/>
    <col min="5370" max="5370" width="17.77734375" style="120" customWidth="1"/>
    <col min="5371" max="5373" width="16.44140625" style="120" customWidth="1"/>
    <col min="5374" max="5374" width="17.77734375" style="120" bestFit="1" customWidth="1"/>
    <col min="5375" max="5375" width="16.44140625" style="120" customWidth="1"/>
    <col min="5376" max="5376" width="21" style="120" customWidth="1"/>
    <col min="5377" max="5377" width="16.44140625" style="120" customWidth="1"/>
    <col min="5378" max="5378" width="18.33203125" style="120" bestFit="1" customWidth="1"/>
    <col min="5379" max="5379" width="19.109375" style="120" customWidth="1"/>
    <col min="5380" max="5381" width="18.33203125" style="120" customWidth="1"/>
    <col min="5382" max="5382" width="8.77734375" style="120"/>
    <col min="5383" max="5384" width="16.77734375" style="120" customWidth="1"/>
    <col min="5385" max="5386" width="11.6640625" style="120" customWidth="1"/>
    <col min="5387" max="5387" width="8.77734375" style="120"/>
    <col min="5388" max="5388" width="18.33203125" style="120" customWidth="1"/>
    <col min="5389" max="5389" width="16.44140625" style="120" customWidth="1"/>
    <col min="5390" max="5390" width="9.44140625" style="120" bestFit="1" customWidth="1"/>
    <col min="5391" max="5391" width="17.6640625" style="120" customWidth="1"/>
    <col min="5392" max="5392" width="14.77734375" style="120" bestFit="1" customWidth="1"/>
    <col min="5393" max="5603" width="8.77734375" style="120"/>
    <col min="5604" max="5604" width="24.109375" style="120" customWidth="1"/>
    <col min="5605" max="5607" width="16.44140625" style="120" customWidth="1"/>
    <col min="5608" max="5608" width="18" style="120" customWidth="1"/>
    <col min="5609" max="5609" width="16.44140625" style="120" customWidth="1"/>
    <col min="5610" max="5610" width="4" style="120" customWidth="1"/>
    <col min="5611" max="5613" width="9.33203125" style="120" customWidth="1"/>
    <col min="5614" max="5614" width="22.44140625" style="120" customWidth="1"/>
    <col min="5615" max="5615" width="3.77734375" style="120" customWidth="1"/>
    <col min="5616" max="5616" width="16.44140625" style="120" customWidth="1"/>
    <col min="5617" max="5617" width="17.33203125" style="120" customWidth="1"/>
    <col min="5618" max="5621" width="16.44140625" style="120" customWidth="1"/>
    <col min="5622" max="5623" width="9.33203125" style="120" customWidth="1"/>
    <col min="5624" max="5624" width="18.77734375" style="120" customWidth="1"/>
    <col min="5625" max="5625" width="16.44140625" style="120" customWidth="1"/>
    <col min="5626" max="5626" width="17.77734375" style="120" customWidth="1"/>
    <col min="5627" max="5629" width="16.44140625" style="120" customWidth="1"/>
    <col min="5630" max="5630" width="17.77734375" style="120" bestFit="1" customWidth="1"/>
    <col min="5631" max="5631" width="16.44140625" style="120" customWidth="1"/>
    <col min="5632" max="5632" width="21" style="120" customWidth="1"/>
    <col min="5633" max="5633" width="16.44140625" style="120" customWidth="1"/>
    <col min="5634" max="5634" width="18.33203125" style="120" bestFit="1" customWidth="1"/>
    <col min="5635" max="5635" width="19.109375" style="120" customWidth="1"/>
    <col min="5636" max="5637" width="18.33203125" style="120" customWidth="1"/>
    <col min="5638" max="5638" width="8.77734375" style="120"/>
    <col min="5639" max="5640" width="16.77734375" style="120" customWidth="1"/>
    <col min="5641" max="5642" width="11.6640625" style="120" customWidth="1"/>
    <col min="5643" max="5643" width="8.77734375" style="120"/>
    <col min="5644" max="5644" width="18.33203125" style="120" customWidth="1"/>
    <col min="5645" max="5645" width="16.44140625" style="120" customWidth="1"/>
    <col min="5646" max="5646" width="9.44140625" style="120" bestFit="1" customWidth="1"/>
    <col min="5647" max="5647" width="17.6640625" style="120" customWidth="1"/>
    <col min="5648" max="5648" width="14.77734375" style="120" bestFit="1" customWidth="1"/>
    <col min="5649" max="5859" width="8.77734375" style="120"/>
    <col min="5860" max="5860" width="24.109375" style="120" customWidth="1"/>
    <col min="5861" max="5863" width="16.44140625" style="120" customWidth="1"/>
    <col min="5864" max="5864" width="18" style="120" customWidth="1"/>
    <col min="5865" max="5865" width="16.44140625" style="120" customWidth="1"/>
    <col min="5866" max="5866" width="4" style="120" customWidth="1"/>
    <col min="5867" max="5869" width="9.33203125" style="120" customWidth="1"/>
    <col min="5870" max="5870" width="22.44140625" style="120" customWidth="1"/>
    <col min="5871" max="5871" width="3.77734375" style="120" customWidth="1"/>
    <col min="5872" max="5872" width="16.44140625" style="120" customWidth="1"/>
    <col min="5873" max="5873" width="17.33203125" style="120" customWidth="1"/>
    <col min="5874" max="5877" width="16.44140625" style="120" customWidth="1"/>
    <col min="5878" max="5879" width="9.33203125" style="120" customWidth="1"/>
    <col min="5880" max="5880" width="18.77734375" style="120" customWidth="1"/>
    <col min="5881" max="5881" width="16.44140625" style="120" customWidth="1"/>
    <col min="5882" max="5882" width="17.77734375" style="120" customWidth="1"/>
    <col min="5883" max="5885" width="16.44140625" style="120" customWidth="1"/>
    <col min="5886" max="5886" width="17.77734375" style="120" bestFit="1" customWidth="1"/>
    <col min="5887" max="5887" width="16.44140625" style="120" customWidth="1"/>
    <col min="5888" max="5888" width="21" style="120" customWidth="1"/>
    <col min="5889" max="5889" width="16.44140625" style="120" customWidth="1"/>
    <col min="5890" max="5890" width="18.33203125" style="120" bestFit="1" customWidth="1"/>
    <col min="5891" max="5891" width="19.109375" style="120" customWidth="1"/>
    <col min="5892" max="5893" width="18.33203125" style="120" customWidth="1"/>
    <col min="5894" max="5894" width="8.77734375" style="120"/>
    <col min="5895" max="5896" width="16.77734375" style="120" customWidth="1"/>
    <col min="5897" max="5898" width="11.6640625" style="120" customWidth="1"/>
    <col min="5899" max="5899" width="8.77734375" style="120"/>
    <col min="5900" max="5900" width="18.33203125" style="120" customWidth="1"/>
    <col min="5901" max="5901" width="16.44140625" style="120" customWidth="1"/>
    <col min="5902" max="5902" width="9.44140625" style="120" bestFit="1" customWidth="1"/>
    <col min="5903" max="5903" width="17.6640625" style="120" customWidth="1"/>
    <col min="5904" max="5904" width="14.77734375" style="120" bestFit="1" customWidth="1"/>
    <col min="5905" max="6115" width="8.77734375" style="120"/>
    <col min="6116" max="6116" width="24.109375" style="120" customWidth="1"/>
    <col min="6117" max="6119" width="16.44140625" style="120" customWidth="1"/>
    <col min="6120" max="6120" width="18" style="120" customWidth="1"/>
    <col min="6121" max="6121" width="16.44140625" style="120" customWidth="1"/>
    <col min="6122" max="6122" width="4" style="120" customWidth="1"/>
    <col min="6123" max="6125" width="9.33203125" style="120" customWidth="1"/>
    <col min="6126" max="6126" width="22.44140625" style="120" customWidth="1"/>
    <col min="6127" max="6127" width="3.77734375" style="120" customWidth="1"/>
    <col min="6128" max="6128" width="16.44140625" style="120" customWidth="1"/>
    <col min="6129" max="6129" width="17.33203125" style="120" customWidth="1"/>
    <col min="6130" max="6133" width="16.44140625" style="120" customWidth="1"/>
    <col min="6134" max="6135" width="9.33203125" style="120" customWidth="1"/>
    <col min="6136" max="6136" width="18.77734375" style="120" customWidth="1"/>
    <col min="6137" max="6137" width="16.44140625" style="120" customWidth="1"/>
    <col min="6138" max="6138" width="17.77734375" style="120" customWidth="1"/>
    <col min="6139" max="6141" width="16.44140625" style="120" customWidth="1"/>
    <col min="6142" max="6142" width="17.77734375" style="120" bestFit="1" customWidth="1"/>
    <col min="6143" max="6143" width="16.44140625" style="120" customWidth="1"/>
    <col min="6144" max="6144" width="21" style="120" customWidth="1"/>
    <col min="6145" max="6145" width="16.44140625" style="120" customWidth="1"/>
    <col min="6146" max="6146" width="18.33203125" style="120" bestFit="1" customWidth="1"/>
    <col min="6147" max="6147" width="19.109375" style="120" customWidth="1"/>
    <col min="6148" max="6149" width="18.33203125" style="120" customWidth="1"/>
    <col min="6150" max="6150" width="8.77734375" style="120"/>
    <col min="6151" max="6152" width="16.77734375" style="120" customWidth="1"/>
    <col min="6153" max="6154" width="11.6640625" style="120" customWidth="1"/>
    <col min="6155" max="6155" width="8.77734375" style="120"/>
    <col min="6156" max="6156" width="18.33203125" style="120" customWidth="1"/>
    <col min="6157" max="6157" width="16.44140625" style="120" customWidth="1"/>
    <col min="6158" max="6158" width="9.44140625" style="120" bestFit="1" customWidth="1"/>
    <col min="6159" max="6159" width="17.6640625" style="120" customWidth="1"/>
    <col min="6160" max="6160" width="14.77734375" style="120" bestFit="1" customWidth="1"/>
    <col min="6161" max="6371" width="8.77734375" style="120"/>
    <col min="6372" max="6372" width="24.109375" style="120" customWidth="1"/>
    <col min="6373" max="6375" width="16.44140625" style="120" customWidth="1"/>
    <col min="6376" max="6376" width="18" style="120" customWidth="1"/>
    <col min="6377" max="6377" width="16.44140625" style="120" customWidth="1"/>
    <col min="6378" max="6378" width="4" style="120" customWidth="1"/>
    <col min="6379" max="6381" width="9.33203125" style="120" customWidth="1"/>
    <col min="6382" max="6382" width="22.44140625" style="120" customWidth="1"/>
    <col min="6383" max="6383" width="3.77734375" style="120" customWidth="1"/>
    <col min="6384" max="6384" width="16.44140625" style="120" customWidth="1"/>
    <col min="6385" max="6385" width="17.33203125" style="120" customWidth="1"/>
    <col min="6386" max="6389" width="16.44140625" style="120" customWidth="1"/>
    <col min="6390" max="6391" width="9.33203125" style="120" customWidth="1"/>
    <col min="6392" max="6392" width="18.77734375" style="120" customWidth="1"/>
    <col min="6393" max="6393" width="16.44140625" style="120" customWidth="1"/>
    <col min="6394" max="6394" width="17.77734375" style="120" customWidth="1"/>
    <col min="6395" max="6397" width="16.44140625" style="120" customWidth="1"/>
    <col min="6398" max="6398" width="17.77734375" style="120" bestFit="1" customWidth="1"/>
    <col min="6399" max="6399" width="16.44140625" style="120" customWidth="1"/>
    <col min="6400" max="6400" width="21" style="120" customWidth="1"/>
    <col min="6401" max="6401" width="16.44140625" style="120" customWidth="1"/>
    <col min="6402" max="6402" width="18.33203125" style="120" bestFit="1" customWidth="1"/>
    <col min="6403" max="6403" width="19.109375" style="120" customWidth="1"/>
    <col min="6404" max="6405" width="18.33203125" style="120" customWidth="1"/>
    <col min="6406" max="6406" width="8.77734375" style="120"/>
    <col min="6407" max="6408" width="16.77734375" style="120" customWidth="1"/>
    <col min="6409" max="6410" width="11.6640625" style="120" customWidth="1"/>
    <col min="6411" max="6411" width="8.77734375" style="120"/>
    <col min="6412" max="6412" width="18.33203125" style="120" customWidth="1"/>
    <col min="6413" max="6413" width="16.44140625" style="120" customWidth="1"/>
    <col min="6414" max="6414" width="9.44140625" style="120" bestFit="1" customWidth="1"/>
    <col min="6415" max="6415" width="17.6640625" style="120" customWidth="1"/>
    <col min="6416" max="6416" width="14.77734375" style="120" bestFit="1" customWidth="1"/>
    <col min="6417" max="6627" width="8.77734375" style="120"/>
    <col min="6628" max="6628" width="24.109375" style="120" customWidth="1"/>
    <col min="6629" max="6631" width="16.44140625" style="120" customWidth="1"/>
    <col min="6632" max="6632" width="18" style="120" customWidth="1"/>
    <col min="6633" max="6633" width="16.44140625" style="120" customWidth="1"/>
    <col min="6634" max="6634" width="4" style="120" customWidth="1"/>
    <col min="6635" max="6637" width="9.33203125" style="120" customWidth="1"/>
    <col min="6638" max="6638" width="22.44140625" style="120" customWidth="1"/>
    <col min="6639" max="6639" width="3.77734375" style="120" customWidth="1"/>
    <col min="6640" max="6640" width="16.44140625" style="120" customWidth="1"/>
    <col min="6641" max="6641" width="17.33203125" style="120" customWidth="1"/>
    <col min="6642" max="6645" width="16.44140625" style="120" customWidth="1"/>
    <col min="6646" max="6647" width="9.33203125" style="120" customWidth="1"/>
    <col min="6648" max="6648" width="18.77734375" style="120" customWidth="1"/>
    <col min="6649" max="6649" width="16.44140625" style="120" customWidth="1"/>
    <col min="6650" max="6650" width="17.77734375" style="120" customWidth="1"/>
    <col min="6651" max="6653" width="16.44140625" style="120" customWidth="1"/>
    <col min="6654" max="6654" width="17.77734375" style="120" bestFit="1" customWidth="1"/>
    <col min="6655" max="6655" width="16.44140625" style="120" customWidth="1"/>
    <col min="6656" max="6656" width="21" style="120" customWidth="1"/>
    <col min="6657" max="6657" width="16.44140625" style="120" customWidth="1"/>
    <col min="6658" max="6658" width="18.33203125" style="120" bestFit="1" customWidth="1"/>
    <col min="6659" max="6659" width="19.109375" style="120" customWidth="1"/>
    <col min="6660" max="6661" width="18.33203125" style="120" customWidth="1"/>
    <col min="6662" max="6662" width="8.77734375" style="120"/>
    <col min="6663" max="6664" width="16.77734375" style="120" customWidth="1"/>
    <col min="6665" max="6666" width="11.6640625" style="120" customWidth="1"/>
    <col min="6667" max="6667" width="8.77734375" style="120"/>
    <col min="6668" max="6668" width="18.33203125" style="120" customWidth="1"/>
    <col min="6669" max="6669" width="16.44140625" style="120" customWidth="1"/>
    <col min="6670" max="6670" width="9.44140625" style="120" bestFit="1" customWidth="1"/>
    <col min="6671" max="6671" width="17.6640625" style="120" customWidth="1"/>
    <col min="6672" max="6672" width="14.77734375" style="120" bestFit="1" customWidth="1"/>
    <col min="6673" max="6883" width="8.77734375" style="120"/>
    <col min="6884" max="6884" width="24.109375" style="120" customWidth="1"/>
    <col min="6885" max="6887" width="16.44140625" style="120" customWidth="1"/>
    <col min="6888" max="6888" width="18" style="120" customWidth="1"/>
    <col min="6889" max="6889" width="16.44140625" style="120" customWidth="1"/>
    <col min="6890" max="6890" width="4" style="120" customWidth="1"/>
    <col min="6891" max="6893" width="9.33203125" style="120" customWidth="1"/>
    <col min="6894" max="6894" width="22.44140625" style="120" customWidth="1"/>
    <col min="6895" max="6895" width="3.77734375" style="120" customWidth="1"/>
    <col min="6896" max="6896" width="16.44140625" style="120" customWidth="1"/>
    <col min="6897" max="6897" width="17.33203125" style="120" customWidth="1"/>
    <col min="6898" max="6901" width="16.44140625" style="120" customWidth="1"/>
    <col min="6902" max="6903" width="9.33203125" style="120" customWidth="1"/>
    <col min="6904" max="6904" width="18.77734375" style="120" customWidth="1"/>
    <col min="6905" max="6905" width="16.44140625" style="120" customWidth="1"/>
    <col min="6906" max="6906" width="17.77734375" style="120" customWidth="1"/>
    <col min="6907" max="6909" width="16.44140625" style="120" customWidth="1"/>
    <col min="6910" max="6910" width="17.77734375" style="120" bestFit="1" customWidth="1"/>
    <col min="6911" max="6911" width="16.44140625" style="120" customWidth="1"/>
    <col min="6912" max="6912" width="21" style="120" customWidth="1"/>
    <col min="6913" max="6913" width="16.44140625" style="120" customWidth="1"/>
    <col min="6914" max="6914" width="18.33203125" style="120" bestFit="1" customWidth="1"/>
    <col min="6915" max="6915" width="19.109375" style="120" customWidth="1"/>
    <col min="6916" max="6917" width="18.33203125" style="120" customWidth="1"/>
    <col min="6918" max="6918" width="8.77734375" style="120"/>
    <col min="6919" max="6920" width="16.77734375" style="120" customWidth="1"/>
    <col min="6921" max="6922" width="11.6640625" style="120" customWidth="1"/>
    <col min="6923" max="6923" width="8.77734375" style="120"/>
    <col min="6924" max="6924" width="18.33203125" style="120" customWidth="1"/>
    <col min="6925" max="6925" width="16.44140625" style="120" customWidth="1"/>
    <col min="6926" max="6926" width="9.44140625" style="120" bestFit="1" customWidth="1"/>
    <col min="6927" max="6927" width="17.6640625" style="120" customWidth="1"/>
    <col min="6928" max="6928" width="14.77734375" style="120" bestFit="1" customWidth="1"/>
    <col min="6929" max="7139" width="8.77734375" style="120"/>
    <col min="7140" max="7140" width="24.109375" style="120" customWidth="1"/>
    <col min="7141" max="7143" width="16.44140625" style="120" customWidth="1"/>
    <col min="7144" max="7144" width="18" style="120" customWidth="1"/>
    <col min="7145" max="7145" width="16.44140625" style="120" customWidth="1"/>
    <col min="7146" max="7146" width="4" style="120" customWidth="1"/>
    <col min="7147" max="7149" width="9.33203125" style="120" customWidth="1"/>
    <col min="7150" max="7150" width="22.44140625" style="120" customWidth="1"/>
    <col min="7151" max="7151" width="3.77734375" style="120" customWidth="1"/>
    <col min="7152" max="7152" width="16.44140625" style="120" customWidth="1"/>
    <col min="7153" max="7153" width="17.33203125" style="120" customWidth="1"/>
    <col min="7154" max="7157" width="16.44140625" style="120" customWidth="1"/>
    <col min="7158" max="7159" width="9.33203125" style="120" customWidth="1"/>
    <col min="7160" max="7160" width="18.77734375" style="120" customWidth="1"/>
    <col min="7161" max="7161" width="16.44140625" style="120" customWidth="1"/>
    <col min="7162" max="7162" width="17.77734375" style="120" customWidth="1"/>
    <col min="7163" max="7165" width="16.44140625" style="120" customWidth="1"/>
    <col min="7166" max="7166" width="17.77734375" style="120" bestFit="1" customWidth="1"/>
    <col min="7167" max="7167" width="16.44140625" style="120" customWidth="1"/>
    <col min="7168" max="7168" width="21" style="120" customWidth="1"/>
    <col min="7169" max="7169" width="16.44140625" style="120" customWidth="1"/>
    <col min="7170" max="7170" width="18.33203125" style="120" bestFit="1" customWidth="1"/>
    <col min="7171" max="7171" width="19.109375" style="120" customWidth="1"/>
    <col min="7172" max="7173" width="18.33203125" style="120" customWidth="1"/>
    <col min="7174" max="7174" width="8.77734375" style="120"/>
    <col min="7175" max="7176" width="16.77734375" style="120" customWidth="1"/>
    <col min="7177" max="7178" width="11.6640625" style="120" customWidth="1"/>
    <col min="7179" max="7179" width="8.77734375" style="120"/>
    <col min="7180" max="7180" width="18.33203125" style="120" customWidth="1"/>
    <col min="7181" max="7181" width="16.44140625" style="120" customWidth="1"/>
    <col min="7182" max="7182" width="9.44140625" style="120" bestFit="1" customWidth="1"/>
    <col min="7183" max="7183" width="17.6640625" style="120" customWidth="1"/>
    <col min="7184" max="7184" width="14.77734375" style="120" bestFit="1" customWidth="1"/>
    <col min="7185" max="7395" width="8.77734375" style="120"/>
    <col min="7396" max="7396" width="24.109375" style="120" customWidth="1"/>
    <col min="7397" max="7399" width="16.44140625" style="120" customWidth="1"/>
    <col min="7400" max="7400" width="18" style="120" customWidth="1"/>
    <col min="7401" max="7401" width="16.44140625" style="120" customWidth="1"/>
    <col min="7402" max="7402" width="4" style="120" customWidth="1"/>
    <col min="7403" max="7405" width="9.33203125" style="120" customWidth="1"/>
    <col min="7406" max="7406" width="22.44140625" style="120" customWidth="1"/>
    <col min="7407" max="7407" width="3.77734375" style="120" customWidth="1"/>
    <col min="7408" max="7408" width="16.44140625" style="120" customWidth="1"/>
    <col min="7409" max="7409" width="17.33203125" style="120" customWidth="1"/>
    <col min="7410" max="7413" width="16.44140625" style="120" customWidth="1"/>
    <col min="7414" max="7415" width="9.33203125" style="120" customWidth="1"/>
    <col min="7416" max="7416" width="18.77734375" style="120" customWidth="1"/>
    <col min="7417" max="7417" width="16.44140625" style="120" customWidth="1"/>
    <col min="7418" max="7418" width="17.77734375" style="120" customWidth="1"/>
    <col min="7419" max="7421" width="16.44140625" style="120" customWidth="1"/>
    <col min="7422" max="7422" width="17.77734375" style="120" bestFit="1" customWidth="1"/>
    <col min="7423" max="7423" width="16.44140625" style="120" customWidth="1"/>
    <col min="7424" max="7424" width="21" style="120" customWidth="1"/>
    <col min="7425" max="7425" width="16.44140625" style="120" customWidth="1"/>
    <col min="7426" max="7426" width="18.33203125" style="120" bestFit="1" customWidth="1"/>
    <col min="7427" max="7427" width="19.109375" style="120" customWidth="1"/>
    <col min="7428" max="7429" width="18.33203125" style="120" customWidth="1"/>
    <col min="7430" max="7430" width="8.77734375" style="120"/>
    <col min="7431" max="7432" width="16.77734375" style="120" customWidth="1"/>
    <col min="7433" max="7434" width="11.6640625" style="120" customWidth="1"/>
    <col min="7435" max="7435" width="8.77734375" style="120"/>
    <col min="7436" max="7436" width="18.33203125" style="120" customWidth="1"/>
    <col min="7437" max="7437" width="16.44140625" style="120" customWidth="1"/>
    <col min="7438" max="7438" width="9.44140625" style="120" bestFit="1" customWidth="1"/>
    <col min="7439" max="7439" width="17.6640625" style="120" customWidth="1"/>
    <col min="7440" max="7440" width="14.77734375" style="120" bestFit="1" customWidth="1"/>
    <col min="7441" max="7651" width="8.77734375" style="120"/>
    <col min="7652" max="7652" width="24.109375" style="120" customWidth="1"/>
    <col min="7653" max="7655" width="16.44140625" style="120" customWidth="1"/>
    <col min="7656" max="7656" width="18" style="120" customWidth="1"/>
    <col min="7657" max="7657" width="16.44140625" style="120" customWidth="1"/>
    <col min="7658" max="7658" width="4" style="120" customWidth="1"/>
    <col min="7659" max="7661" width="9.33203125" style="120" customWidth="1"/>
    <col min="7662" max="7662" width="22.44140625" style="120" customWidth="1"/>
    <col min="7663" max="7663" width="3.77734375" style="120" customWidth="1"/>
    <col min="7664" max="7664" width="16.44140625" style="120" customWidth="1"/>
    <col min="7665" max="7665" width="17.33203125" style="120" customWidth="1"/>
    <col min="7666" max="7669" width="16.44140625" style="120" customWidth="1"/>
    <col min="7670" max="7671" width="9.33203125" style="120" customWidth="1"/>
    <col min="7672" max="7672" width="18.77734375" style="120" customWidth="1"/>
    <col min="7673" max="7673" width="16.44140625" style="120" customWidth="1"/>
    <col min="7674" max="7674" width="17.77734375" style="120" customWidth="1"/>
    <col min="7675" max="7677" width="16.44140625" style="120" customWidth="1"/>
    <col min="7678" max="7678" width="17.77734375" style="120" bestFit="1" customWidth="1"/>
    <col min="7679" max="7679" width="16.44140625" style="120" customWidth="1"/>
    <col min="7680" max="7680" width="21" style="120" customWidth="1"/>
    <col min="7681" max="7681" width="16.44140625" style="120" customWidth="1"/>
    <col min="7682" max="7682" width="18.33203125" style="120" bestFit="1" customWidth="1"/>
    <col min="7683" max="7683" width="19.109375" style="120" customWidth="1"/>
    <col min="7684" max="7685" width="18.33203125" style="120" customWidth="1"/>
    <col min="7686" max="7686" width="8.77734375" style="120"/>
    <col min="7687" max="7688" width="16.77734375" style="120" customWidth="1"/>
    <col min="7689" max="7690" width="11.6640625" style="120" customWidth="1"/>
    <col min="7691" max="7691" width="8.77734375" style="120"/>
    <col min="7692" max="7692" width="18.33203125" style="120" customWidth="1"/>
    <col min="7693" max="7693" width="16.44140625" style="120" customWidth="1"/>
    <col min="7694" max="7694" width="9.44140625" style="120" bestFit="1" customWidth="1"/>
    <col min="7695" max="7695" width="17.6640625" style="120" customWidth="1"/>
    <col min="7696" max="7696" width="14.77734375" style="120" bestFit="1" customWidth="1"/>
    <col min="7697" max="7907" width="8.77734375" style="120"/>
    <col min="7908" max="7908" width="24.109375" style="120" customWidth="1"/>
    <col min="7909" max="7911" width="16.44140625" style="120" customWidth="1"/>
    <col min="7912" max="7912" width="18" style="120" customWidth="1"/>
    <col min="7913" max="7913" width="16.44140625" style="120" customWidth="1"/>
    <col min="7914" max="7914" width="4" style="120" customWidth="1"/>
    <col min="7915" max="7917" width="9.33203125" style="120" customWidth="1"/>
    <col min="7918" max="7918" width="22.44140625" style="120" customWidth="1"/>
    <col min="7919" max="7919" width="3.77734375" style="120" customWidth="1"/>
    <col min="7920" max="7920" width="16.44140625" style="120" customWidth="1"/>
    <col min="7921" max="7921" width="17.33203125" style="120" customWidth="1"/>
    <col min="7922" max="7925" width="16.44140625" style="120" customWidth="1"/>
    <col min="7926" max="7927" width="9.33203125" style="120" customWidth="1"/>
    <col min="7928" max="7928" width="18.77734375" style="120" customWidth="1"/>
    <col min="7929" max="7929" width="16.44140625" style="120" customWidth="1"/>
    <col min="7930" max="7930" width="17.77734375" style="120" customWidth="1"/>
    <col min="7931" max="7933" width="16.44140625" style="120" customWidth="1"/>
    <col min="7934" max="7934" width="17.77734375" style="120" bestFit="1" customWidth="1"/>
    <col min="7935" max="7935" width="16.44140625" style="120" customWidth="1"/>
    <col min="7936" max="7936" width="21" style="120" customWidth="1"/>
    <col min="7937" max="7937" width="16.44140625" style="120" customWidth="1"/>
    <col min="7938" max="7938" width="18.33203125" style="120" bestFit="1" customWidth="1"/>
    <col min="7939" max="7939" width="19.109375" style="120" customWidth="1"/>
    <col min="7940" max="7941" width="18.33203125" style="120" customWidth="1"/>
    <col min="7942" max="7942" width="8.77734375" style="120"/>
    <col min="7943" max="7944" width="16.77734375" style="120" customWidth="1"/>
    <col min="7945" max="7946" width="11.6640625" style="120" customWidth="1"/>
    <col min="7947" max="7947" width="8.77734375" style="120"/>
    <col min="7948" max="7948" width="18.33203125" style="120" customWidth="1"/>
    <col min="7949" max="7949" width="16.44140625" style="120" customWidth="1"/>
    <col min="7950" max="7950" width="9.44140625" style="120" bestFit="1" customWidth="1"/>
    <col min="7951" max="7951" width="17.6640625" style="120" customWidth="1"/>
    <col min="7952" max="7952" width="14.77734375" style="120" bestFit="1" customWidth="1"/>
    <col min="7953" max="8163" width="8.77734375" style="120"/>
    <col min="8164" max="8164" width="24.109375" style="120" customWidth="1"/>
    <col min="8165" max="8167" width="16.44140625" style="120" customWidth="1"/>
    <col min="8168" max="8168" width="18" style="120" customWidth="1"/>
    <col min="8169" max="8169" width="16.44140625" style="120" customWidth="1"/>
    <col min="8170" max="8170" width="4" style="120" customWidth="1"/>
    <col min="8171" max="8173" width="9.33203125" style="120" customWidth="1"/>
    <col min="8174" max="8174" width="22.44140625" style="120" customWidth="1"/>
    <col min="8175" max="8175" width="3.77734375" style="120" customWidth="1"/>
    <col min="8176" max="8176" width="16.44140625" style="120" customWidth="1"/>
    <col min="8177" max="8177" width="17.33203125" style="120" customWidth="1"/>
    <col min="8178" max="8181" width="16.44140625" style="120" customWidth="1"/>
    <col min="8182" max="8183" width="9.33203125" style="120" customWidth="1"/>
    <col min="8184" max="8184" width="18.77734375" style="120" customWidth="1"/>
    <col min="8185" max="8185" width="16.44140625" style="120" customWidth="1"/>
    <col min="8186" max="8186" width="17.77734375" style="120" customWidth="1"/>
    <col min="8187" max="8189" width="16.44140625" style="120" customWidth="1"/>
    <col min="8190" max="8190" width="17.77734375" style="120" bestFit="1" customWidth="1"/>
    <col min="8191" max="8191" width="16.44140625" style="120" customWidth="1"/>
    <col min="8192" max="8192" width="21" style="120" customWidth="1"/>
    <col min="8193" max="8193" width="16.44140625" style="120" customWidth="1"/>
    <col min="8194" max="8194" width="18.33203125" style="120" bestFit="1" customWidth="1"/>
    <col min="8195" max="8195" width="19.109375" style="120" customWidth="1"/>
    <col min="8196" max="8197" width="18.33203125" style="120" customWidth="1"/>
    <col min="8198" max="8198" width="8.77734375" style="120"/>
    <col min="8199" max="8200" width="16.77734375" style="120" customWidth="1"/>
    <col min="8201" max="8202" width="11.6640625" style="120" customWidth="1"/>
    <col min="8203" max="8203" width="8.77734375" style="120"/>
    <col min="8204" max="8204" width="18.33203125" style="120" customWidth="1"/>
    <col min="8205" max="8205" width="16.44140625" style="120" customWidth="1"/>
    <col min="8206" max="8206" width="9.44140625" style="120" bestFit="1" customWidth="1"/>
    <col min="8207" max="8207" width="17.6640625" style="120" customWidth="1"/>
    <col min="8208" max="8208" width="14.77734375" style="120" bestFit="1" customWidth="1"/>
    <col min="8209" max="8419" width="8.77734375" style="120"/>
    <col min="8420" max="8420" width="24.109375" style="120" customWidth="1"/>
    <col min="8421" max="8423" width="16.44140625" style="120" customWidth="1"/>
    <col min="8424" max="8424" width="18" style="120" customWidth="1"/>
    <col min="8425" max="8425" width="16.44140625" style="120" customWidth="1"/>
    <col min="8426" max="8426" width="4" style="120" customWidth="1"/>
    <col min="8427" max="8429" width="9.33203125" style="120" customWidth="1"/>
    <col min="8430" max="8430" width="22.44140625" style="120" customWidth="1"/>
    <col min="8431" max="8431" width="3.77734375" style="120" customWidth="1"/>
    <col min="8432" max="8432" width="16.44140625" style="120" customWidth="1"/>
    <col min="8433" max="8433" width="17.33203125" style="120" customWidth="1"/>
    <col min="8434" max="8437" width="16.44140625" style="120" customWidth="1"/>
    <col min="8438" max="8439" width="9.33203125" style="120" customWidth="1"/>
    <col min="8440" max="8440" width="18.77734375" style="120" customWidth="1"/>
    <col min="8441" max="8441" width="16.44140625" style="120" customWidth="1"/>
    <col min="8442" max="8442" width="17.77734375" style="120" customWidth="1"/>
    <col min="8443" max="8445" width="16.44140625" style="120" customWidth="1"/>
    <col min="8446" max="8446" width="17.77734375" style="120" bestFit="1" customWidth="1"/>
    <col min="8447" max="8447" width="16.44140625" style="120" customWidth="1"/>
    <col min="8448" max="8448" width="21" style="120" customWidth="1"/>
    <col min="8449" max="8449" width="16.44140625" style="120" customWidth="1"/>
    <col min="8450" max="8450" width="18.33203125" style="120" bestFit="1" customWidth="1"/>
    <col min="8451" max="8451" width="19.109375" style="120" customWidth="1"/>
    <col min="8452" max="8453" width="18.33203125" style="120" customWidth="1"/>
    <col min="8454" max="8454" width="8.77734375" style="120"/>
    <col min="8455" max="8456" width="16.77734375" style="120" customWidth="1"/>
    <col min="8457" max="8458" width="11.6640625" style="120" customWidth="1"/>
    <col min="8459" max="8459" width="8.77734375" style="120"/>
    <col min="8460" max="8460" width="18.33203125" style="120" customWidth="1"/>
    <col min="8461" max="8461" width="16.44140625" style="120" customWidth="1"/>
    <col min="8462" max="8462" width="9.44140625" style="120" bestFit="1" customWidth="1"/>
    <col min="8463" max="8463" width="17.6640625" style="120" customWidth="1"/>
    <col min="8464" max="8464" width="14.77734375" style="120" bestFit="1" customWidth="1"/>
    <col min="8465" max="8675" width="8.77734375" style="120"/>
    <col min="8676" max="8676" width="24.109375" style="120" customWidth="1"/>
    <col min="8677" max="8679" width="16.44140625" style="120" customWidth="1"/>
    <col min="8680" max="8680" width="18" style="120" customWidth="1"/>
    <col min="8681" max="8681" width="16.44140625" style="120" customWidth="1"/>
    <col min="8682" max="8682" width="4" style="120" customWidth="1"/>
    <col min="8683" max="8685" width="9.33203125" style="120" customWidth="1"/>
    <col min="8686" max="8686" width="22.44140625" style="120" customWidth="1"/>
    <col min="8687" max="8687" width="3.77734375" style="120" customWidth="1"/>
    <col min="8688" max="8688" width="16.44140625" style="120" customWidth="1"/>
    <col min="8689" max="8689" width="17.33203125" style="120" customWidth="1"/>
    <col min="8690" max="8693" width="16.44140625" style="120" customWidth="1"/>
    <col min="8694" max="8695" width="9.33203125" style="120" customWidth="1"/>
    <col min="8696" max="8696" width="18.77734375" style="120" customWidth="1"/>
    <col min="8697" max="8697" width="16.44140625" style="120" customWidth="1"/>
    <col min="8698" max="8698" width="17.77734375" style="120" customWidth="1"/>
    <col min="8699" max="8701" width="16.44140625" style="120" customWidth="1"/>
    <col min="8702" max="8702" width="17.77734375" style="120" bestFit="1" customWidth="1"/>
    <col min="8703" max="8703" width="16.44140625" style="120" customWidth="1"/>
    <col min="8704" max="8704" width="21" style="120" customWidth="1"/>
    <col min="8705" max="8705" width="16.44140625" style="120" customWidth="1"/>
    <col min="8706" max="8706" width="18.33203125" style="120" bestFit="1" customWidth="1"/>
    <col min="8707" max="8707" width="19.109375" style="120" customWidth="1"/>
    <col min="8708" max="8709" width="18.33203125" style="120" customWidth="1"/>
    <col min="8710" max="8710" width="8.77734375" style="120"/>
    <col min="8711" max="8712" width="16.77734375" style="120" customWidth="1"/>
    <col min="8713" max="8714" width="11.6640625" style="120" customWidth="1"/>
    <col min="8715" max="8715" width="8.77734375" style="120"/>
    <col min="8716" max="8716" width="18.33203125" style="120" customWidth="1"/>
    <col min="8717" max="8717" width="16.44140625" style="120" customWidth="1"/>
    <col min="8718" max="8718" width="9.44140625" style="120" bestFit="1" customWidth="1"/>
    <col min="8719" max="8719" width="17.6640625" style="120" customWidth="1"/>
    <col min="8720" max="8720" width="14.77734375" style="120" bestFit="1" customWidth="1"/>
    <col min="8721" max="8931" width="8.77734375" style="120"/>
    <col min="8932" max="8932" width="24.109375" style="120" customWidth="1"/>
    <col min="8933" max="8935" width="16.44140625" style="120" customWidth="1"/>
    <col min="8936" max="8936" width="18" style="120" customWidth="1"/>
    <col min="8937" max="8937" width="16.44140625" style="120" customWidth="1"/>
    <col min="8938" max="8938" width="4" style="120" customWidth="1"/>
    <col min="8939" max="8941" width="9.33203125" style="120" customWidth="1"/>
    <col min="8942" max="8942" width="22.44140625" style="120" customWidth="1"/>
    <col min="8943" max="8943" width="3.77734375" style="120" customWidth="1"/>
    <col min="8944" max="8944" width="16.44140625" style="120" customWidth="1"/>
    <col min="8945" max="8945" width="17.33203125" style="120" customWidth="1"/>
    <col min="8946" max="8949" width="16.44140625" style="120" customWidth="1"/>
    <col min="8950" max="8951" width="9.33203125" style="120" customWidth="1"/>
    <col min="8952" max="8952" width="18.77734375" style="120" customWidth="1"/>
    <col min="8953" max="8953" width="16.44140625" style="120" customWidth="1"/>
    <col min="8954" max="8954" width="17.77734375" style="120" customWidth="1"/>
    <col min="8955" max="8957" width="16.44140625" style="120" customWidth="1"/>
    <col min="8958" max="8958" width="17.77734375" style="120" bestFit="1" customWidth="1"/>
    <col min="8959" max="8959" width="16.44140625" style="120" customWidth="1"/>
    <col min="8960" max="8960" width="21" style="120" customWidth="1"/>
    <col min="8961" max="8961" width="16.44140625" style="120" customWidth="1"/>
    <col min="8962" max="8962" width="18.33203125" style="120" bestFit="1" customWidth="1"/>
    <col min="8963" max="8963" width="19.109375" style="120" customWidth="1"/>
    <col min="8964" max="8965" width="18.33203125" style="120" customWidth="1"/>
    <col min="8966" max="8966" width="8.77734375" style="120"/>
    <col min="8967" max="8968" width="16.77734375" style="120" customWidth="1"/>
    <col min="8969" max="8970" width="11.6640625" style="120" customWidth="1"/>
    <col min="8971" max="8971" width="8.77734375" style="120"/>
    <col min="8972" max="8972" width="18.33203125" style="120" customWidth="1"/>
    <col min="8973" max="8973" width="16.44140625" style="120" customWidth="1"/>
    <col min="8974" max="8974" width="9.44140625" style="120" bestFit="1" customWidth="1"/>
    <col min="8975" max="8975" width="17.6640625" style="120" customWidth="1"/>
    <col min="8976" max="8976" width="14.77734375" style="120" bestFit="1" customWidth="1"/>
    <col min="8977" max="9187" width="8.77734375" style="120"/>
    <col min="9188" max="9188" width="24.109375" style="120" customWidth="1"/>
    <col min="9189" max="9191" width="16.44140625" style="120" customWidth="1"/>
    <col min="9192" max="9192" width="18" style="120" customWidth="1"/>
    <col min="9193" max="9193" width="16.44140625" style="120" customWidth="1"/>
    <col min="9194" max="9194" width="4" style="120" customWidth="1"/>
    <col min="9195" max="9197" width="9.33203125" style="120" customWidth="1"/>
    <col min="9198" max="9198" width="22.44140625" style="120" customWidth="1"/>
    <col min="9199" max="9199" width="3.77734375" style="120" customWidth="1"/>
    <col min="9200" max="9200" width="16.44140625" style="120" customWidth="1"/>
    <col min="9201" max="9201" width="17.33203125" style="120" customWidth="1"/>
    <col min="9202" max="9205" width="16.44140625" style="120" customWidth="1"/>
    <col min="9206" max="9207" width="9.33203125" style="120" customWidth="1"/>
    <col min="9208" max="9208" width="18.77734375" style="120" customWidth="1"/>
    <col min="9209" max="9209" width="16.44140625" style="120" customWidth="1"/>
    <col min="9210" max="9210" width="17.77734375" style="120" customWidth="1"/>
    <col min="9211" max="9213" width="16.44140625" style="120" customWidth="1"/>
    <col min="9214" max="9214" width="17.77734375" style="120" bestFit="1" customWidth="1"/>
    <col min="9215" max="9215" width="16.44140625" style="120" customWidth="1"/>
    <col min="9216" max="9216" width="21" style="120" customWidth="1"/>
    <col min="9217" max="9217" width="16.44140625" style="120" customWidth="1"/>
    <col min="9218" max="9218" width="18.33203125" style="120" bestFit="1" customWidth="1"/>
    <col min="9219" max="9219" width="19.109375" style="120" customWidth="1"/>
    <col min="9220" max="9221" width="18.33203125" style="120" customWidth="1"/>
    <col min="9222" max="9222" width="8.77734375" style="120"/>
    <col min="9223" max="9224" width="16.77734375" style="120" customWidth="1"/>
    <col min="9225" max="9226" width="11.6640625" style="120" customWidth="1"/>
    <col min="9227" max="9227" width="8.77734375" style="120"/>
    <col min="9228" max="9228" width="18.33203125" style="120" customWidth="1"/>
    <col min="9229" max="9229" width="16.44140625" style="120" customWidth="1"/>
    <col min="9230" max="9230" width="9.44140625" style="120" bestFit="1" customWidth="1"/>
    <col min="9231" max="9231" width="17.6640625" style="120" customWidth="1"/>
    <col min="9232" max="9232" width="14.77734375" style="120" bestFit="1" customWidth="1"/>
    <col min="9233" max="9443" width="8.77734375" style="120"/>
    <col min="9444" max="9444" width="24.109375" style="120" customWidth="1"/>
    <col min="9445" max="9447" width="16.44140625" style="120" customWidth="1"/>
    <col min="9448" max="9448" width="18" style="120" customWidth="1"/>
    <col min="9449" max="9449" width="16.44140625" style="120" customWidth="1"/>
    <col min="9450" max="9450" width="4" style="120" customWidth="1"/>
    <col min="9451" max="9453" width="9.33203125" style="120" customWidth="1"/>
    <col min="9454" max="9454" width="22.44140625" style="120" customWidth="1"/>
    <col min="9455" max="9455" width="3.77734375" style="120" customWidth="1"/>
    <col min="9456" max="9456" width="16.44140625" style="120" customWidth="1"/>
    <col min="9457" max="9457" width="17.33203125" style="120" customWidth="1"/>
    <col min="9458" max="9461" width="16.44140625" style="120" customWidth="1"/>
    <col min="9462" max="9463" width="9.33203125" style="120" customWidth="1"/>
    <col min="9464" max="9464" width="18.77734375" style="120" customWidth="1"/>
    <col min="9465" max="9465" width="16.44140625" style="120" customWidth="1"/>
    <col min="9466" max="9466" width="17.77734375" style="120" customWidth="1"/>
    <col min="9467" max="9469" width="16.44140625" style="120" customWidth="1"/>
    <col min="9470" max="9470" width="17.77734375" style="120" bestFit="1" customWidth="1"/>
    <col min="9471" max="9471" width="16.44140625" style="120" customWidth="1"/>
    <col min="9472" max="9472" width="21" style="120" customWidth="1"/>
    <col min="9473" max="9473" width="16.44140625" style="120" customWidth="1"/>
    <col min="9474" max="9474" width="18.33203125" style="120" bestFit="1" customWidth="1"/>
    <col min="9475" max="9475" width="19.109375" style="120" customWidth="1"/>
    <col min="9476" max="9477" width="18.33203125" style="120" customWidth="1"/>
    <col min="9478" max="9478" width="8.77734375" style="120"/>
    <col min="9479" max="9480" width="16.77734375" style="120" customWidth="1"/>
    <col min="9481" max="9482" width="11.6640625" style="120" customWidth="1"/>
    <col min="9483" max="9483" width="8.77734375" style="120"/>
    <col min="9484" max="9484" width="18.33203125" style="120" customWidth="1"/>
    <col min="9485" max="9485" width="16.44140625" style="120" customWidth="1"/>
    <col min="9486" max="9486" width="9.44140625" style="120" bestFit="1" customWidth="1"/>
    <col min="9487" max="9487" width="17.6640625" style="120" customWidth="1"/>
    <col min="9488" max="9488" width="14.77734375" style="120" bestFit="1" customWidth="1"/>
    <col min="9489" max="9699" width="8.77734375" style="120"/>
    <col min="9700" max="9700" width="24.109375" style="120" customWidth="1"/>
    <col min="9701" max="9703" width="16.44140625" style="120" customWidth="1"/>
    <col min="9704" max="9704" width="18" style="120" customWidth="1"/>
    <col min="9705" max="9705" width="16.44140625" style="120" customWidth="1"/>
    <col min="9706" max="9706" width="4" style="120" customWidth="1"/>
    <col min="9707" max="9709" width="9.33203125" style="120" customWidth="1"/>
    <col min="9710" max="9710" width="22.44140625" style="120" customWidth="1"/>
    <col min="9711" max="9711" width="3.77734375" style="120" customWidth="1"/>
    <col min="9712" max="9712" width="16.44140625" style="120" customWidth="1"/>
    <col min="9713" max="9713" width="17.33203125" style="120" customWidth="1"/>
    <col min="9714" max="9717" width="16.44140625" style="120" customWidth="1"/>
    <col min="9718" max="9719" width="9.33203125" style="120" customWidth="1"/>
    <col min="9720" max="9720" width="18.77734375" style="120" customWidth="1"/>
    <col min="9721" max="9721" width="16.44140625" style="120" customWidth="1"/>
    <col min="9722" max="9722" width="17.77734375" style="120" customWidth="1"/>
    <col min="9723" max="9725" width="16.44140625" style="120" customWidth="1"/>
    <col min="9726" max="9726" width="17.77734375" style="120" bestFit="1" customWidth="1"/>
    <col min="9727" max="9727" width="16.44140625" style="120" customWidth="1"/>
    <col min="9728" max="9728" width="21" style="120" customWidth="1"/>
    <col min="9729" max="9729" width="16.44140625" style="120" customWidth="1"/>
    <col min="9730" max="9730" width="18.33203125" style="120" bestFit="1" customWidth="1"/>
    <col min="9731" max="9731" width="19.109375" style="120" customWidth="1"/>
    <col min="9732" max="9733" width="18.33203125" style="120" customWidth="1"/>
    <col min="9734" max="9734" width="8.77734375" style="120"/>
    <col min="9735" max="9736" width="16.77734375" style="120" customWidth="1"/>
    <col min="9737" max="9738" width="11.6640625" style="120" customWidth="1"/>
    <col min="9739" max="9739" width="8.77734375" style="120"/>
    <col min="9740" max="9740" width="18.33203125" style="120" customWidth="1"/>
    <col min="9741" max="9741" width="16.44140625" style="120" customWidth="1"/>
    <col min="9742" max="9742" width="9.44140625" style="120" bestFit="1" customWidth="1"/>
    <col min="9743" max="9743" width="17.6640625" style="120" customWidth="1"/>
    <col min="9744" max="9744" width="14.77734375" style="120" bestFit="1" customWidth="1"/>
    <col min="9745" max="9955" width="8.77734375" style="120"/>
    <col min="9956" max="9956" width="24.109375" style="120" customWidth="1"/>
    <col min="9957" max="9959" width="16.44140625" style="120" customWidth="1"/>
    <col min="9960" max="9960" width="18" style="120" customWidth="1"/>
    <col min="9961" max="9961" width="16.44140625" style="120" customWidth="1"/>
    <col min="9962" max="9962" width="4" style="120" customWidth="1"/>
    <col min="9963" max="9965" width="9.33203125" style="120" customWidth="1"/>
    <col min="9966" max="9966" width="22.44140625" style="120" customWidth="1"/>
    <col min="9967" max="9967" width="3.77734375" style="120" customWidth="1"/>
    <col min="9968" max="9968" width="16.44140625" style="120" customWidth="1"/>
    <col min="9969" max="9969" width="17.33203125" style="120" customWidth="1"/>
    <col min="9970" max="9973" width="16.44140625" style="120" customWidth="1"/>
    <col min="9974" max="9975" width="9.33203125" style="120" customWidth="1"/>
    <col min="9976" max="9976" width="18.77734375" style="120" customWidth="1"/>
    <col min="9977" max="9977" width="16.44140625" style="120" customWidth="1"/>
    <col min="9978" max="9978" width="17.77734375" style="120" customWidth="1"/>
    <col min="9979" max="9981" width="16.44140625" style="120" customWidth="1"/>
    <col min="9982" max="9982" width="17.77734375" style="120" bestFit="1" customWidth="1"/>
    <col min="9983" max="9983" width="16.44140625" style="120" customWidth="1"/>
    <col min="9984" max="9984" width="21" style="120" customWidth="1"/>
    <col min="9985" max="9985" width="16.44140625" style="120" customWidth="1"/>
    <col min="9986" max="9986" width="18.33203125" style="120" bestFit="1" customWidth="1"/>
    <col min="9987" max="9987" width="19.109375" style="120" customWidth="1"/>
    <col min="9988" max="9989" width="18.33203125" style="120" customWidth="1"/>
    <col min="9990" max="9990" width="8.77734375" style="120"/>
    <col min="9991" max="9992" width="16.77734375" style="120" customWidth="1"/>
    <col min="9993" max="9994" width="11.6640625" style="120" customWidth="1"/>
    <col min="9995" max="9995" width="8.77734375" style="120"/>
    <col min="9996" max="9996" width="18.33203125" style="120" customWidth="1"/>
    <col min="9997" max="9997" width="16.44140625" style="120" customWidth="1"/>
    <col min="9998" max="9998" width="9.44140625" style="120" bestFit="1" customWidth="1"/>
    <col min="9999" max="9999" width="17.6640625" style="120" customWidth="1"/>
    <col min="10000" max="10000" width="14.77734375" style="120" bestFit="1" customWidth="1"/>
    <col min="10001" max="10211" width="8.77734375" style="120"/>
    <col min="10212" max="10212" width="24.109375" style="120" customWidth="1"/>
    <col min="10213" max="10215" width="16.44140625" style="120" customWidth="1"/>
    <col min="10216" max="10216" width="18" style="120" customWidth="1"/>
    <col min="10217" max="10217" width="16.44140625" style="120" customWidth="1"/>
    <col min="10218" max="10218" width="4" style="120" customWidth="1"/>
    <col min="10219" max="10221" width="9.33203125" style="120" customWidth="1"/>
    <col min="10222" max="10222" width="22.44140625" style="120" customWidth="1"/>
    <col min="10223" max="10223" width="3.77734375" style="120" customWidth="1"/>
    <col min="10224" max="10224" width="16.44140625" style="120" customWidth="1"/>
    <col min="10225" max="10225" width="17.33203125" style="120" customWidth="1"/>
    <col min="10226" max="10229" width="16.44140625" style="120" customWidth="1"/>
    <col min="10230" max="10231" width="9.33203125" style="120" customWidth="1"/>
    <col min="10232" max="10232" width="18.77734375" style="120" customWidth="1"/>
    <col min="10233" max="10233" width="16.44140625" style="120" customWidth="1"/>
    <col min="10234" max="10234" width="17.77734375" style="120" customWidth="1"/>
    <col min="10235" max="10237" width="16.44140625" style="120" customWidth="1"/>
    <col min="10238" max="10238" width="17.77734375" style="120" bestFit="1" customWidth="1"/>
    <col min="10239" max="10239" width="16.44140625" style="120" customWidth="1"/>
    <col min="10240" max="10240" width="21" style="120" customWidth="1"/>
    <col min="10241" max="10241" width="16.44140625" style="120" customWidth="1"/>
    <col min="10242" max="10242" width="18.33203125" style="120" bestFit="1" customWidth="1"/>
    <col min="10243" max="10243" width="19.109375" style="120" customWidth="1"/>
    <col min="10244" max="10245" width="18.33203125" style="120" customWidth="1"/>
    <col min="10246" max="10246" width="8.77734375" style="120"/>
    <col min="10247" max="10248" width="16.77734375" style="120" customWidth="1"/>
    <col min="10249" max="10250" width="11.6640625" style="120" customWidth="1"/>
    <col min="10251" max="10251" width="8.77734375" style="120"/>
    <col min="10252" max="10252" width="18.33203125" style="120" customWidth="1"/>
    <col min="10253" max="10253" width="16.44140625" style="120" customWidth="1"/>
    <col min="10254" max="10254" width="9.44140625" style="120" bestFit="1" customWidth="1"/>
    <col min="10255" max="10255" width="17.6640625" style="120" customWidth="1"/>
    <col min="10256" max="10256" width="14.77734375" style="120" bestFit="1" customWidth="1"/>
    <col min="10257" max="10467" width="8.77734375" style="120"/>
    <col min="10468" max="10468" width="24.109375" style="120" customWidth="1"/>
    <col min="10469" max="10471" width="16.44140625" style="120" customWidth="1"/>
    <col min="10472" max="10472" width="18" style="120" customWidth="1"/>
    <col min="10473" max="10473" width="16.44140625" style="120" customWidth="1"/>
    <col min="10474" max="10474" width="4" style="120" customWidth="1"/>
    <col min="10475" max="10477" width="9.33203125" style="120" customWidth="1"/>
    <col min="10478" max="10478" width="22.44140625" style="120" customWidth="1"/>
    <col min="10479" max="10479" width="3.77734375" style="120" customWidth="1"/>
    <col min="10480" max="10480" width="16.44140625" style="120" customWidth="1"/>
    <col min="10481" max="10481" width="17.33203125" style="120" customWidth="1"/>
    <col min="10482" max="10485" width="16.44140625" style="120" customWidth="1"/>
    <col min="10486" max="10487" width="9.33203125" style="120" customWidth="1"/>
    <col min="10488" max="10488" width="18.77734375" style="120" customWidth="1"/>
    <col min="10489" max="10489" width="16.44140625" style="120" customWidth="1"/>
    <col min="10490" max="10490" width="17.77734375" style="120" customWidth="1"/>
    <col min="10491" max="10493" width="16.44140625" style="120" customWidth="1"/>
    <col min="10494" max="10494" width="17.77734375" style="120" bestFit="1" customWidth="1"/>
    <col min="10495" max="10495" width="16.44140625" style="120" customWidth="1"/>
    <col min="10496" max="10496" width="21" style="120" customWidth="1"/>
    <col min="10497" max="10497" width="16.44140625" style="120" customWidth="1"/>
    <col min="10498" max="10498" width="18.33203125" style="120" bestFit="1" customWidth="1"/>
    <col min="10499" max="10499" width="19.109375" style="120" customWidth="1"/>
    <col min="10500" max="10501" width="18.33203125" style="120" customWidth="1"/>
    <col min="10502" max="10502" width="8.77734375" style="120"/>
    <col min="10503" max="10504" width="16.77734375" style="120" customWidth="1"/>
    <col min="10505" max="10506" width="11.6640625" style="120" customWidth="1"/>
    <col min="10507" max="10507" width="8.77734375" style="120"/>
    <col min="10508" max="10508" width="18.33203125" style="120" customWidth="1"/>
    <col min="10509" max="10509" width="16.44140625" style="120" customWidth="1"/>
    <col min="10510" max="10510" width="9.44140625" style="120" bestFit="1" customWidth="1"/>
    <col min="10511" max="10511" width="17.6640625" style="120" customWidth="1"/>
    <col min="10512" max="10512" width="14.77734375" style="120" bestFit="1" customWidth="1"/>
    <col min="10513" max="10723" width="8.77734375" style="120"/>
    <col min="10724" max="10724" width="24.109375" style="120" customWidth="1"/>
    <col min="10725" max="10727" width="16.44140625" style="120" customWidth="1"/>
    <col min="10728" max="10728" width="18" style="120" customWidth="1"/>
    <col min="10729" max="10729" width="16.44140625" style="120" customWidth="1"/>
    <col min="10730" max="10730" width="4" style="120" customWidth="1"/>
    <col min="10731" max="10733" width="9.33203125" style="120" customWidth="1"/>
    <col min="10734" max="10734" width="22.44140625" style="120" customWidth="1"/>
    <col min="10735" max="10735" width="3.77734375" style="120" customWidth="1"/>
    <col min="10736" max="10736" width="16.44140625" style="120" customWidth="1"/>
    <col min="10737" max="10737" width="17.33203125" style="120" customWidth="1"/>
    <col min="10738" max="10741" width="16.44140625" style="120" customWidth="1"/>
    <col min="10742" max="10743" width="9.33203125" style="120" customWidth="1"/>
    <col min="10744" max="10744" width="18.77734375" style="120" customWidth="1"/>
    <col min="10745" max="10745" width="16.44140625" style="120" customWidth="1"/>
    <col min="10746" max="10746" width="17.77734375" style="120" customWidth="1"/>
    <col min="10747" max="10749" width="16.44140625" style="120" customWidth="1"/>
    <col min="10750" max="10750" width="17.77734375" style="120" bestFit="1" customWidth="1"/>
    <col min="10751" max="10751" width="16.44140625" style="120" customWidth="1"/>
    <col min="10752" max="10752" width="21" style="120" customWidth="1"/>
    <col min="10753" max="10753" width="16.44140625" style="120" customWidth="1"/>
    <col min="10754" max="10754" width="18.33203125" style="120" bestFit="1" customWidth="1"/>
    <col min="10755" max="10755" width="19.109375" style="120" customWidth="1"/>
    <col min="10756" max="10757" width="18.33203125" style="120" customWidth="1"/>
    <col min="10758" max="10758" width="8.77734375" style="120"/>
    <col min="10759" max="10760" width="16.77734375" style="120" customWidth="1"/>
    <col min="10761" max="10762" width="11.6640625" style="120" customWidth="1"/>
    <col min="10763" max="10763" width="8.77734375" style="120"/>
    <col min="10764" max="10764" width="18.33203125" style="120" customWidth="1"/>
    <col min="10765" max="10765" width="16.44140625" style="120" customWidth="1"/>
    <col min="10766" max="10766" width="9.44140625" style="120" bestFit="1" customWidth="1"/>
    <col min="10767" max="10767" width="17.6640625" style="120" customWidth="1"/>
    <col min="10768" max="10768" width="14.77734375" style="120" bestFit="1" customWidth="1"/>
    <col min="10769" max="10979" width="8.77734375" style="120"/>
    <col min="10980" max="10980" width="24.109375" style="120" customWidth="1"/>
    <col min="10981" max="10983" width="16.44140625" style="120" customWidth="1"/>
    <col min="10984" max="10984" width="18" style="120" customWidth="1"/>
    <col min="10985" max="10985" width="16.44140625" style="120" customWidth="1"/>
    <col min="10986" max="10986" width="4" style="120" customWidth="1"/>
    <col min="10987" max="10989" width="9.33203125" style="120" customWidth="1"/>
    <col min="10990" max="10990" width="22.44140625" style="120" customWidth="1"/>
    <col min="10991" max="10991" width="3.77734375" style="120" customWidth="1"/>
    <col min="10992" max="10992" width="16.44140625" style="120" customWidth="1"/>
    <col min="10993" max="10993" width="17.33203125" style="120" customWidth="1"/>
    <col min="10994" max="10997" width="16.44140625" style="120" customWidth="1"/>
    <col min="10998" max="10999" width="9.33203125" style="120" customWidth="1"/>
    <col min="11000" max="11000" width="18.77734375" style="120" customWidth="1"/>
    <col min="11001" max="11001" width="16.44140625" style="120" customWidth="1"/>
    <col min="11002" max="11002" width="17.77734375" style="120" customWidth="1"/>
    <col min="11003" max="11005" width="16.44140625" style="120" customWidth="1"/>
    <col min="11006" max="11006" width="17.77734375" style="120" bestFit="1" customWidth="1"/>
    <col min="11007" max="11007" width="16.44140625" style="120" customWidth="1"/>
    <col min="11008" max="11008" width="21" style="120" customWidth="1"/>
    <col min="11009" max="11009" width="16.44140625" style="120" customWidth="1"/>
    <col min="11010" max="11010" width="18.33203125" style="120" bestFit="1" customWidth="1"/>
    <col min="11011" max="11011" width="19.109375" style="120" customWidth="1"/>
    <col min="11012" max="11013" width="18.33203125" style="120" customWidth="1"/>
    <col min="11014" max="11014" width="8.77734375" style="120"/>
    <col min="11015" max="11016" width="16.77734375" style="120" customWidth="1"/>
    <col min="11017" max="11018" width="11.6640625" style="120" customWidth="1"/>
    <col min="11019" max="11019" width="8.77734375" style="120"/>
    <col min="11020" max="11020" width="18.33203125" style="120" customWidth="1"/>
    <col min="11021" max="11021" width="16.44140625" style="120" customWidth="1"/>
    <col min="11022" max="11022" width="9.44140625" style="120" bestFit="1" customWidth="1"/>
    <col min="11023" max="11023" width="17.6640625" style="120" customWidth="1"/>
    <col min="11024" max="11024" width="14.77734375" style="120" bestFit="1" customWidth="1"/>
    <col min="11025" max="11235" width="8.77734375" style="120"/>
    <col min="11236" max="11236" width="24.109375" style="120" customWidth="1"/>
    <col min="11237" max="11239" width="16.44140625" style="120" customWidth="1"/>
    <col min="11240" max="11240" width="18" style="120" customWidth="1"/>
    <col min="11241" max="11241" width="16.44140625" style="120" customWidth="1"/>
    <col min="11242" max="11242" width="4" style="120" customWidth="1"/>
    <col min="11243" max="11245" width="9.33203125" style="120" customWidth="1"/>
    <col min="11246" max="11246" width="22.44140625" style="120" customWidth="1"/>
    <col min="11247" max="11247" width="3.77734375" style="120" customWidth="1"/>
    <col min="11248" max="11248" width="16.44140625" style="120" customWidth="1"/>
    <col min="11249" max="11249" width="17.33203125" style="120" customWidth="1"/>
    <col min="11250" max="11253" width="16.44140625" style="120" customWidth="1"/>
    <col min="11254" max="11255" width="9.33203125" style="120" customWidth="1"/>
    <col min="11256" max="11256" width="18.77734375" style="120" customWidth="1"/>
    <col min="11257" max="11257" width="16.44140625" style="120" customWidth="1"/>
    <col min="11258" max="11258" width="17.77734375" style="120" customWidth="1"/>
    <col min="11259" max="11261" width="16.44140625" style="120" customWidth="1"/>
    <col min="11262" max="11262" width="17.77734375" style="120" bestFit="1" customWidth="1"/>
    <col min="11263" max="11263" width="16.44140625" style="120" customWidth="1"/>
    <col min="11264" max="11264" width="21" style="120" customWidth="1"/>
    <col min="11265" max="11265" width="16.44140625" style="120" customWidth="1"/>
    <col min="11266" max="11266" width="18.33203125" style="120" bestFit="1" customWidth="1"/>
    <col min="11267" max="11267" width="19.109375" style="120" customWidth="1"/>
    <col min="11268" max="11269" width="18.33203125" style="120" customWidth="1"/>
    <col min="11270" max="11270" width="8.77734375" style="120"/>
    <col min="11271" max="11272" width="16.77734375" style="120" customWidth="1"/>
    <col min="11273" max="11274" width="11.6640625" style="120" customWidth="1"/>
    <col min="11275" max="11275" width="8.77734375" style="120"/>
    <col min="11276" max="11276" width="18.33203125" style="120" customWidth="1"/>
    <col min="11277" max="11277" width="16.44140625" style="120" customWidth="1"/>
    <col min="11278" max="11278" width="9.44140625" style="120" bestFit="1" customWidth="1"/>
    <col min="11279" max="11279" width="17.6640625" style="120" customWidth="1"/>
    <col min="11280" max="11280" width="14.77734375" style="120" bestFit="1" customWidth="1"/>
    <col min="11281" max="11491" width="8.77734375" style="120"/>
    <col min="11492" max="11492" width="24.109375" style="120" customWidth="1"/>
    <col min="11493" max="11495" width="16.44140625" style="120" customWidth="1"/>
    <col min="11496" max="11496" width="18" style="120" customWidth="1"/>
    <col min="11497" max="11497" width="16.44140625" style="120" customWidth="1"/>
    <col min="11498" max="11498" width="4" style="120" customWidth="1"/>
    <col min="11499" max="11501" width="9.33203125" style="120" customWidth="1"/>
    <col min="11502" max="11502" width="22.44140625" style="120" customWidth="1"/>
    <col min="11503" max="11503" width="3.77734375" style="120" customWidth="1"/>
    <col min="11504" max="11504" width="16.44140625" style="120" customWidth="1"/>
    <col min="11505" max="11505" width="17.33203125" style="120" customWidth="1"/>
    <col min="11506" max="11509" width="16.44140625" style="120" customWidth="1"/>
    <col min="11510" max="11511" width="9.33203125" style="120" customWidth="1"/>
    <col min="11512" max="11512" width="18.77734375" style="120" customWidth="1"/>
    <col min="11513" max="11513" width="16.44140625" style="120" customWidth="1"/>
    <col min="11514" max="11514" width="17.77734375" style="120" customWidth="1"/>
    <col min="11515" max="11517" width="16.44140625" style="120" customWidth="1"/>
    <col min="11518" max="11518" width="17.77734375" style="120" bestFit="1" customWidth="1"/>
    <col min="11519" max="11519" width="16.44140625" style="120" customWidth="1"/>
    <col min="11520" max="11520" width="21" style="120" customWidth="1"/>
    <col min="11521" max="11521" width="16.44140625" style="120" customWidth="1"/>
    <col min="11522" max="11522" width="18.33203125" style="120" bestFit="1" customWidth="1"/>
    <col min="11523" max="11523" width="19.109375" style="120" customWidth="1"/>
    <col min="11524" max="11525" width="18.33203125" style="120" customWidth="1"/>
    <col min="11526" max="11526" width="8.77734375" style="120"/>
    <col min="11527" max="11528" width="16.77734375" style="120" customWidth="1"/>
    <col min="11529" max="11530" width="11.6640625" style="120" customWidth="1"/>
    <col min="11531" max="11531" width="8.77734375" style="120"/>
    <col min="11532" max="11532" width="18.33203125" style="120" customWidth="1"/>
    <col min="11533" max="11533" width="16.44140625" style="120" customWidth="1"/>
    <col min="11534" max="11534" width="9.44140625" style="120" bestFit="1" customWidth="1"/>
    <col min="11535" max="11535" width="17.6640625" style="120" customWidth="1"/>
    <col min="11536" max="11536" width="14.77734375" style="120" bestFit="1" customWidth="1"/>
    <col min="11537" max="11747" width="8.77734375" style="120"/>
    <col min="11748" max="11748" width="24.109375" style="120" customWidth="1"/>
    <col min="11749" max="11751" width="16.44140625" style="120" customWidth="1"/>
    <col min="11752" max="11752" width="18" style="120" customWidth="1"/>
    <col min="11753" max="11753" width="16.44140625" style="120" customWidth="1"/>
    <col min="11754" max="11754" width="4" style="120" customWidth="1"/>
    <col min="11755" max="11757" width="9.33203125" style="120" customWidth="1"/>
    <col min="11758" max="11758" width="22.44140625" style="120" customWidth="1"/>
    <col min="11759" max="11759" width="3.77734375" style="120" customWidth="1"/>
    <col min="11760" max="11760" width="16.44140625" style="120" customWidth="1"/>
    <col min="11761" max="11761" width="17.33203125" style="120" customWidth="1"/>
    <col min="11762" max="11765" width="16.44140625" style="120" customWidth="1"/>
    <col min="11766" max="11767" width="9.33203125" style="120" customWidth="1"/>
    <col min="11768" max="11768" width="18.77734375" style="120" customWidth="1"/>
    <col min="11769" max="11769" width="16.44140625" style="120" customWidth="1"/>
    <col min="11770" max="11770" width="17.77734375" style="120" customWidth="1"/>
    <col min="11771" max="11773" width="16.44140625" style="120" customWidth="1"/>
    <col min="11774" max="11774" width="17.77734375" style="120" bestFit="1" customWidth="1"/>
    <col min="11775" max="11775" width="16.44140625" style="120" customWidth="1"/>
    <col min="11776" max="11776" width="21" style="120" customWidth="1"/>
    <col min="11777" max="11777" width="16.44140625" style="120" customWidth="1"/>
    <col min="11778" max="11778" width="18.33203125" style="120" bestFit="1" customWidth="1"/>
    <col min="11779" max="11779" width="19.109375" style="120" customWidth="1"/>
    <col min="11780" max="11781" width="18.33203125" style="120" customWidth="1"/>
    <col min="11782" max="11782" width="8.77734375" style="120"/>
    <col min="11783" max="11784" width="16.77734375" style="120" customWidth="1"/>
    <col min="11785" max="11786" width="11.6640625" style="120" customWidth="1"/>
    <col min="11787" max="11787" width="8.77734375" style="120"/>
    <col min="11788" max="11788" width="18.33203125" style="120" customWidth="1"/>
    <col min="11789" max="11789" width="16.44140625" style="120" customWidth="1"/>
    <col min="11790" max="11790" width="9.44140625" style="120" bestFit="1" customWidth="1"/>
    <col min="11791" max="11791" width="17.6640625" style="120" customWidth="1"/>
    <col min="11792" max="11792" width="14.77734375" style="120" bestFit="1" customWidth="1"/>
    <col min="11793" max="12003" width="8.77734375" style="120"/>
    <col min="12004" max="12004" width="24.109375" style="120" customWidth="1"/>
    <col min="12005" max="12007" width="16.44140625" style="120" customWidth="1"/>
    <col min="12008" max="12008" width="18" style="120" customWidth="1"/>
    <col min="12009" max="12009" width="16.44140625" style="120" customWidth="1"/>
    <col min="12010" max="12010" width="4" style="120" customWidth="1"/>
    <col min="12011" max="12013" width="9.33203125" style="120" customWidth="1"/>
    <col min="12014" max="12014" width="22.44140625" style="120" customWidth="1"/>
    <col min="12015" max="12015" width="3.77734375" style="120" customWidth="1"/>
    <col min="12016" max="12016" width="16.44140625" style="120" customWidth="1"/>
    <col min="12017" max="12017" width="17.33203125" style="120" customWidth="1"/>
    <col min="12018" max="12021" width="16.44140625" style="120" customWidth="1"/>
    <col min="12022" max="12023" width="9.33203125" style="120" customWidth="1"/>
    <col min="12024" max="12024" width="18.77734375" style="120" customWidth="1"/>
    <col min="12025" max="12025" width="16.44140625" style="120" customWidth="1"/>
    <col min="12026" max="12026" width="17.77734375" style="120" customWidth="1"/>
    <col min="12027" max="12029" width="16.44140625" style="120" customWidth="1"/>
    <col min="12030" max="12030" width="17.77734375" style="120" bestFit="1" customWidth="1"/>
    <col min="12031" max="12031" width="16.44140625" style="120" customWidth="1"/>
    <col min="12032" max="12032" width="21" style="120" customWidth="1"/>
    <col min="12033" max="12033" width="16.44140625" style="120" customWidth="1"/>
    <col min="12034" max="12034" width="18.33203125" style="120" bestFit="1" customWidth="1"/>
    <col min="12035" max="12035" width="19.109375" style="120" customWidth="1"/>
    <col min="12036" max="12037" width="18.33203125" style="120" customWidth="1"/>
    <col min="12038" max="12038" width="8.77734375" style="120"/>
    <col min="12039" max="12040" width="16.77734375" style="120" customWidth="1"/>
    <col min="12041" max="12042" width="11.6640625" style="120" customWidth="1"/>
    <col min="12043" max="12043" width="8.77734375" style="120"/>
    <col min="12044" max="12044" width="18.33203125" style="120" customWidth="1"/>
    <col min="12045" max="12045" width="16.44140625" style="120" customWidth="1"/>
    <col min="12046" max="12046" width="9.44140625" style="120" bestFit="1" customWidth="1"/>
    <col min="12047" max="12047" width="17.6640625" style="120" customWidth="1"/>
    <col min="12048" max="12048" width="14.77734375" style="120" bestFit="1" customWidth="1"/>
    <col min="12049" max="12259" width="8.77734375" style="120"/>
    <col min="12260" max="12260" width="24.109375" style="120" customWidth="1"/>
    <col min="12261" max="12263" width="16.44140625" style="120" customWidth="1"/>
    <col min="12264" max="12264" width="18" style="120" customWidth="1"/>
    <col min="12265" max="12265" width="16.44140625" style="120" customWidth="1"/>
    <col min="12266" max="12266" width="4" style="120" customWidth="1"/>
    <col min="12267" max="12269" width="9.33203125" style="120" customWidth="1"/>
    <col min="12270" max="12270" width="22.44140625" style="120" customWidth="1"/>
    <col min="12271" max="12271" width="3.77734375" style="120" customWidth="1"/>
    <col min="12272" max="12272" width="16.44140625" style="120" customWidth="1"/>
    <col min="12273" max="12273" width="17.33203125" style="120" customWidth="1"/>
    <col min="12274" max="12277" width="16.44140625" style="120" customWidth="1"/>
    <col min="12278" max="12279" width="9.33203125" style="120" customWidth="1"/>
    <col min="12280" max="12280" width="18.77734375" style="120" customWidth="1"/>
    <col min="12281" max="12281" width="16.44140625" style="120" customWidth="1"/>
    <col min="12282" max="12282" width="17.77734375" style="120" customWidth="1"/>
    <col min="12283" max="12285" width="16.44140625" style="120" customWidth="1"/>
    <col min="12286" max="12286" width="17.77734375" style="120" bestFit="1" customWidth="1"/>
    <col min="12287" max="12287" width="16.44140625" style="120" customWidth="1"/>
    <col min="12288" max="12288" width="21" style="120" customWidth="1"/>
    <col min="12289" max="12289" width="16.44140625" style="120" customWidth="1"/>
    <col min="12290" max="12290" width="18.33203125" style="120" bestFit="1" customWidth="1"/>
    <col min="12291" max="12291" width="19.109375" style="120" customWidth="1"/>
    <col min="12292" max="12293" width="18.33203125" style="120" customWidth="1"/>
    <col min="12294" max="12294" width="8.77734375" style="120"/>
    <col min="12295" max="12296" width="16.77734375" style="120" customWidth="1"/>
    <col min="12297" max="12298" width="11.6640625" style="120" customWidth="1"/>
    <col min="12299" max="12299" width="8.77734375" style="120"/>
    <col min="12300" max="12300" width="18.33203125" style="120" customWidth="1"/>
    <col min="12301" max="12301" width="16.44140625" style="120" customWidth="1"/>
    <col min="12302" max="12302" width="9.44140625" style="120" bestFit="1" customWidth="1"/>
    <col min="12303" max="12303" width="17.6640625" style="120" customWidth="1"/>
    <col min="12304" max="12304" width="14.77734375" style="120" bestFit="1" customWidth="1"/>
    <col min="12305" max="12515" width="8.77734375" style="120"/>
    <col min="12516" max="12516" width="24.109375" style="120" customWidth="1"/>
    <col min="12517" max="12519" width="16.44140625" style="120" customWidth="1"/>
    <col min="12520" max="12520" width="18" style="120" customWidth="1"/>
    <col min="12521" max="12521" width="16.44140625" style="120" customWidth="1"/>
    <col min="12522" max="12522" width="4" style="120" customWidth="1"/>
    <col min="12523" max="12525" width="9.33203125" style="120" customWidth="1"/>
    <col min="12526" max="12526" width="22.44140625" style="120" customWidth="1"/>
    <col min="12527" max="12527" width="3.77734375" style="120" customWidth="1"/>
    <col min="12528" max="12528" width="16.44140625" style="120" customWidth="1"/>
    <col min="12529" max="12529" width="17.33203125" style="120" customWidth="1"/>
    <col min="12530" max="12533" width="16.44140625" style="120" customWidth="1"/>
    <col min="12534" max="12535" width="9.33203125" style="120" customWidth="1"/>
    <col min="12536" max="12536" width="18.77734375" style="120" customWidth="1"/>
    <col min="12537" max="12537" width="16.44140625" style="120" customWidth="1"/>
    <col min="12538" max="12538" width="17.77734375" style="120" customWidth="1"/>
    <col min="12539" max="12541" width="16.44140625" style="120" customWidth="1"/>
    <col min="12542" max="12542" width="17.77734375" style="120" bestFit="1" customWidth="1"/>
    <col min="12543" max="12543" width="16.44140625" style="120" customWidth="1"/>
    <col min="12544" max="12544" width="21" style="120" customWidth="1"/>
    <col min="12545" max="12545" width="16.44140625" style="120" customWidth="1"/>
    <col min="12546" max="12546" width="18.33203125" style="120" bestFit="1" customWidth="1"/>
    <col min="12547" max="12547" width="19.109375" style="120" customWidth="1"/>
    <col min="12548" max="12549" width="18.33203125" style="120" customWidth="1"/>
    <col min="12550" max="12550" width="8.77734375" style="120"/>
    <col min="12551" max="12552" width="16.77734375" style="120" customWidth="1"/>
    <col min="12553" max="12554" width="11.6640625" style="120" customWidth="1"/>
    <col min="12555" max="12555" width="8.77734375" style="120"/>
    <col min="12556" max="12556" width="18.33203125" style="120" customWidth="1"/>
    <col min="12557" max="12557" width="16.44140625" style="120" customWidth="1"/>
    <col min="12558" max="12558" width="9.44140625" style="120" bestFit="1" customWidth="1"/>
    <col min="12559" max="12559" width="17.6640625" style="120" customWidth="1"/>
    <col min="12560" max="12560" width="14.77734375" style="120" bestFit="1" customWidth="1"/>
    <col min="12561" max="12771" width="8.77734375" style="120"/>
    <col min="12772" max="12772" width="24.109375" style="120" customWidth="1"/>
    <col min="12773" max="12775" width="16.44140625" style="120" customWidth="1"/>
    <col min="12776" max="12776" width="18" style="120" customWidth="1"/>
    <col min="12777" max="12777" width="16.44140625" style="120" customWidth="1"/>
    <col min="12778" max="12778" width="4" style="120" customWidth="1"/>
    <col min="12779" max="12781" width="9.33203125" style="120" customWidth="1"/>
    <col min="12782" max="12782" width="22.44140625" style="120" customWidth="1"/>
    <col min="12783" max="12783" width="3.77734375" style="120" customWidth="1"/>
    <col min="12784" max="12784" width="16.44140625" style="120" customWidth="1"/>
    <col min="12785" max="12785" width="17.33203125" style="120" customWidth="1"/>
    <col min="12786" max="12789" width="16.44140625" style="120" customWidth="1"/>
    <col min="12790" max="12791" width="9.33203125" style="120" customWidth="1"/>
    <col min="12792" max="12792" width="18.77734375" style="120" customWidth="1"/>
    <col min="12793" max="12793" width="16.44140625" style="120" customWidth="1"/>
    <col min="12794" max="12794" width="17.77734375" style="120" customWidth="1"/>
    <col min="12795" max="12797" width="16.44140625" style="120" customWidth="1"/>
    <col min="12798" max="12798" width="17.77734375" style="120" bestFit="1" customWidth="1"/>
    <col min="12799" max="12799" width="16.44140625" style="120" customWidth="1"/>
    <col min="12800" max="12800" width="21" style="120" customWidth="1"/>
    <col min="12801" max="12801" width="16.44140625" style="120" customWidth="1"/>
    <col min="12802" max="12802" width="18.33203125" style="120" bestFit="1" customWidth="1"/>
    <col min="12803" max="12803" width="19.109375" style="120" customWidth="1"/>
    <col min="12804" max="12805" width="18.33203125" style="120" customWidth="1"/>
    <col min="12806" max="12806" width="8.77734375" style="120"/>
    <col min="12807" max="12808" width="16.77734375" style="120" customWidth="1"/>
    <col min="12809" max="12810" width="11.6640625" style="120" customWidth="1"/>
    <col min="12811" max="12811" width="8.77734375" style="120"/>
    <col min="12812" max="12812" width="18.33203125" style="120" customWidth="1"/>
    <col min="12813" max="12813" width="16.44140625" style="120" customWidth="1"/>
    <col min="12814" max="12814" width="9.44140625" style="120" bestFit="1" customWidth="1"/>
    <col min="12815" max="12815" width="17.6640625" style="120" customWidth="1"/>
    <col min="12816" max="12816" width="14.77734375" style="120" bestFit="1" customWidth="1"/>
    <col min="12817" max="13027" width="8.77734375" style="120"/>
    <col min="13028" max="13028" width="24.109375" style="120" customWidth="1"/>
    <col min="13029" max="13031" width="16.44140625" style="120" customWidth="1"/>
    <col min="13032" max="13032" width="18" style="120" customWidth="1"/>
    <col min="13033" max="13033" width="16.44140625" style="120" customWidth="1"/>
    <col min="13034" max="13034" width="4" style="120" customWidth="1"/>
    <col min="13035" max="13037" width="9.33203125" style="120" customWidth="1"/>
    <col min="13038" max="13038" width="22.44140625" style="120" customWidth="1"/>
    <col min="13039" max="13039" width="3.77734375" style="120" customWidth="1"/>
    <col min="13040" max="13040" width="16.44140625" style="120" customWidth="1"/>
    <col min="13041" max="13041" width="17.33203125" style="120" customWidth="1"/>
    <col min="13042" max="13045" width="16.44140625" style="120" customWidth="1"/>
    <col min="13046" max="13047" width="9.33203125" style="120" customWidth="1"/>
    <col min="13048" max="13048" width="18.77734375" style="120" customWidth="1"/>
    <col min="13049" max="13049" width="16.44140625" style="120" customWidth="1"/>
    <col min="13050" max="13050" width="17.77734375" style="120" customWidth="1"/>
    <col min="13051" max="13053" width="16.44140625" style="120" customWidth="1"/>
    <col min="13054" max="13054" width="17.77734375" style="120" bestFit="1" customWidth="1"/>
    <col min="13055" max="13055" width="16.44140625" style="120" customWidth="1"/>
    <col min="13056" max="13056" width="21" style="120" customWidth="1"/>
    <col min="13057" max="13057" width="16.44140625" style="120" customWidth="1"/>
    <col min="13058" max="13058" width="18.33203125" style="120" bestFit="1" customWidth="1"/>
    <col min="13059" max="13059" width="19.109375" style="120" customWidth="1"/>
    <col min="13060" max="13061" width="18.33203125" style="120" customWidth="1"/>
    <col min="13062" max="13062" width="8.77734375" style="120"/>
    <col min="13063" max="13064" width="16.77734375" style="120" customWidth="1"/>
    <col min="13065" max="13066" width="11.6640625" style="120" customWidth="1"/>
    <col min="13067" max="13067" width="8.77734375" style="120"/>
    <col min="13068" max="13068" width="18.33203125" style="120" customWidth="1"/>
    <col min="13069" max="13069" width="16.44140625" style="120" customWidth="1"/>
    <col min="13070" max="13070" width="9.44140625" style="120" bestFit="1" customWidth="1"/>
    <col min="13071" max="13071" width="17.6640625" style="120" customWidth="1"/>
    <col min="13072" max="13072" width="14.77734375" style="120" bestFit="1" customWidth="1"/>
    <col min="13073" max="13283" width="8.77734375" style="120"/>
    <col min="13284" max="13284" width="24.109375" style="120" customWidth="1"/>
    <col min="13285" max="13287" width="16.44140625" style="120" customWidth="1"/>
    <col min="13288" max="13288" width="18" style="120" customWidth="1"/>
    <col min="13289" max="13289" width="16.44140625" style="120" customWidth="1"/>
    <col min="13290" max="13290" width="4" style="120" customWidth="1"/>
    <col min="13291" max="13293" width="9.33203125" style="120" customWidth="1"/>
    <col min="13294" max="13294" width="22.44140625" style="120" customWidth="1"/>
    <col min="13295" max="13295" width="3.77734375" style="120" customWidth="1"/>
    <col min="13296" max="13296" width="16.44140625" style="120" customWidth="1"/>
    <col min="13297" max="13297" width="17.33203125" style="120" customWidth="1"/>
    <col min="13298" max="13301" width="16.44140625" style="120" customWidth="1"/>
    <col min="13302" max="13303" width="9.33203125" style="120" customWidth="1"/>
    <col min="13304" max="13304" width="18.77734375" style="120" customWidth="1"/>
    <col min="13305" max="13305" width="16.44140625" style="120" customWidth="1"/>
    <col min="13306" max="13306" width="17.77734375" style="120" customWidth="1"/>
    <col min="13307" max="13309" width="16.44140625" style="120" customWidth="1"/>
    <col min="13310" max="13310" width="17.77734375" style="120" bestFit="1" customWidth="1"/>
    <col min="13311" max="13311" width="16.44140625" style="120" customWidth="1"/>
    <col min="13312" max="13312" width="21" style="120" customWidth="1"/>
    <col min="13313" max="13313" width="16.44140625" style="120" customWidth="1"/>
    <col min="13314" max="13314" width="18.33203125" style="120" bestFit="1" customWidth="1"/>
    <col min="13315" max="13315" width="19.109375" style="120" customWidth="1"/>
    <col min="13316" max="13317" width="18.33203125" style="120" customWidth="1"/>
    <col min="13318" max="13318" width="8.77734375" style="120"/>
    <col min="13319" max="13320" width="16.77734375" style="120" customWidth="1"/>
    <col min="13321" max="13322" width="11.6640625" style="120" customWidth="1"/>
    <col min="13323" max="13323" width="8.77734375" style="120"/>
    <col min="13324" max="13324" width="18.33203125" style="120" customWidth="1"/>
    <col min="13325" max="13325" width="16.44140625" style="120" customWidth="1"/>
    <col min="13326" max="13326" width="9.44140625" style="120" bestFit="1" customWidth="1"/>
    <col min="13327" max="13327" width="17.6640625" style="120" customWidth="1"/>
    <col min="13328" max="13328" width="14.77734375" style="120" bestFit="1" customWidth="1"/>
    <col min="13329" max="13539" width="8.77734375" style="120"/>
    <col min="13540" max="13540" width="24.109375" style="120" customWidth="1"/>
    <col min="13541" max="13543" width="16.44140625" style="120" customWidth="1"/>
    <col min="13544" max="13544" width="18" style="120" customWidth="1"/>
    <col min="13545" max="13545" width="16.44140625" style="120" customWidth="1"/>
    <col min="13546" max="13546" width="4" style="120" customWidth="1"/>
    <col min="13547" max="13549" width="9.33203125" style="120" customWidth="1"/>
    <col min="13550" max="13550" width="22.44140625" style="120" customWidth="1"/>
    <col min="13551" max="13551" width="3.77734375" style="120" customWidth="1"/>
    <col min="13552" max="13552" width="16.44140625" style="120" customWidth="1"/>
    <col min="13553" max="13553" width="17.33203125" style="120" customWidth="1"/>
    <col min="13554" max="13557" width="16.44140625" style="120" customWidth="1"/>
    <col min="13558" max="13559" width="9.33203125" style="120" customWidth="1"/>
    <col min="13560" max="13560" width="18.77734375" style="120" customWidth="1"/>
    <col min="13561" max="13561" width="16.44140625" style="120" customWidth="1"/>
    <col min="13562" max="13562" width="17.77734375" style="120" customWidth="1"/>
    <col min="13563" max="13565" width="16.44140625" style="120" customWidth="1"/>
    <col min="13566" max="13566" width="17.77734375" style="120" bestFit="1" customWidth="1"/>
    <col min="13567" max="13567" width="16.44140625" style="120" customWidth="1"/>
    <col min="13568" max="13568" width="21" style="120" customWidth="1"/>
    <col min="13569" max="13569" width="16.44140625" style="120" customWidth="1"/>
    <col min="13570" max="13570" width="18.33203125" style="120" bestFit="1" customWidth="1"/>
    <col min="13571" max="13571" width="19.109375" style="120" customWidth="1"/>
    <col min="13572" max="13573" width="18.33203125" style="120" customWidth="1"/>
    <col min="13574" max="13574" width="8.77734375" style="120"/>
    <col min="13575" max="13576" width="16.77734375" style="120" customWidth="1"/>
    <col min="13577" max="13578" width="11.6640625" style="120" customWidth="1"/>
    <col min="13579" max="13579" width="8.77734375" style="120"/>
    <col min="13580" max="13580" width="18.33203125" style="120" customWidth="1"/>
    <col min="13581" max="13581" width="16.44140625" style="120" customWidth="1"/>
    <col min="13582" max="13582" width="9.44140625" style="120" bestFit="1" customWidth="1"/>
    <col min="13583" max="13583" width="17.6640625" style="120" customWidth="1"/>
    <col min="13584" max="13584" width="14.77734375" style="120" bestFit="1" customWidth="1"/>
    <col min="13585" max="13795" width="8.77734375" style="120"/>
    <col min="13796" max="13796" width="24.109375" style="120" customWidth="1"/>
    <col min="13797" max="13799" width="16.44140625" style="120" customWidth="1"/>
    <col min="13800" max="13800" width="18" style="120" customWidth="1"/>
    <col min="13801" max="13801" width="16.44140625" style="120" customWidth="1"/>
    <col min="13802" max="13802" width="4" style="120" customWidth="1"/>
    <col min="13803" max="13805" width="9.33203125" style="120" customWidth="1"/>
    <col min="13806" max="13806" width="22.44140625" style="120" customWidth="1"/>
    <col min="13807" max="13807" width="3.77734375" style="120" customWidth="1"/>
    <col min="13808" max="13808" width="16.44140625" style="120" customWidth="1"/>
    <col min="13809" max="13809" width="17.33203125" style="120" customWidth="1"/>
    <col min="13810" max="13813" width="16.44140625" style="120" customWidth="1"/>
    <col min="13814" max="13815" width="9.33203125" style="120" customWidth="1"/>
    <col min="13816" max="13816" width="18.77734375" style="120" customWidth="1"/>
    <col min="13817" max="13817" width="16.44140625" style="120" customWidth="1"/>
    <col min="13818" max="13818" width="17.77734375" style="120" customWidth="1"/>
    <col min="13819" max="13821" width="16.44140625" style="120" customWidth="1"/>
    <col min="13822" max="13822" width="17.77734375" style="120" bestFit="1" customWidth="1"/>
    <col min="13823" max="13823" width="16.44140625" style="120" customWidth="1"/>
    <col min="13824" max="13824" width="21" style="120" customWidth="1"/>
    <col min="13825" max="13825" width="16.44140625" style="120" customWidth="1"/>
    <col min="13826" max="13826" width="18.33203125" style="120" bestFit="1" customWidth="1"/>
    <col min="13827" max="13827" width="19.109375" style="120" customWidth="1"/>
    <col min="13828" max="13829" width="18.33203125" style="120" customWidth="1"/>
    <col min="13830" max="13830" width="8.77734375" style="120"/>
    <col min="13831" max="13832" width="16.77734375" style="120" customWidth="1"/>
    <col min="13833" max="13834" width="11.6640625" style="120" customWidth="1"/>
    <col min="13835" max="13835" width="8.77734375" style="120"/>
    <col min="13836" max="13836" width="18.33203125" style="120" customWidth="1"/>
    <col min="13837" max="13837" width="16.44140625" style="120" customWidth="1"/>
    <col min="13838" max="13838" width="9.44140625" style="120" bestFit="1" customWidth="1"/>
    <col min="13839" max="13839" width="17.6640625" style="120" customWidth="1"/>
    <col min="13840" max="13840" width="14.77734375" style="120" bestFit="1" customWidth="1"/>
    <col min="13841" max="14051" width="8.77734375" style="120"/>
    <col min="14052" max="14052" width="24.109375" style="120" customWidth="1"/>
    <col min="14053" max="14055" width="16.44140625" style="120" customWidth="1"/>
    <col min="14056" max="14056" width="18" style="120" customWidth="1"/>
    <col min="14057" max="14057" width="16.44140625" style="120" customWidth="1"/>
    <col min="14058" max="14058" width="4" style="120" customWidth="1"/>
    <col min="14059" max="14061" width="9.33203125" style="120" customWidth="1"/>
    <col min="14062" max="14062" width="22.44140625" style="120" customWidth="1"/>
    <col min="14063" max="14063" width="3.77734375" style="120" customWidth="1"/>
    <col min="14064" max="14064" width="16.44140625" style="120" customWidth="1"/>
    <col min="14065" max="14065" width="17.33203125" style="120" customWidth="1"/>
    <col min="14066" max="14069" width="16.44140625" style="120" customWidth="1"/>
    <col min="14070" max="14071" width="9.33203125" style="120" customWidth="1"/>
    <col min="14072" max="14072" width="18.77734375" style="120" customWidth="1"/>
    <col min="14073" max="14073" width="16.44140625" style="120" customWidth="1"/>
    <col min="14074" max="14074" width="17.77734375" style="120" customWidth="1"/>
    <col min="14075" max="14077" width="16.44140625" style="120" customWidth="1"/>
    <col min="14078" max="14078" width="17.77734375" style="120" bestFit="1" customWidth="1"/>
    <col min="14079" max="14079" width="16.44140625" style="120" customWidth="1"/>
    <col min="14080" max="14080" width="21" style="120" customWidth="1"/>
    <col min="14081" max="14081" width="16.44140625" style="120" customWidth="1"/>
    <col min="14082" max="14082" width="18.33203125" style="120" bestFit="1" customWidth="1"/>
    <col min="14083" max="14083" width="19.109375" style="120" customWidth="1"/>
    <col min="14084" max="14085" width="18.33203125" style="120" customWidth="1"/>
    <col min="14086" max="14086" width="8.77734375" style="120"/>
    <col min="14087" max="14088" width="16.77734375" style="120" customWidth="1"/>
    <col min="14089" max="14090" width="11.6640625" style="120" customWidth="1"/>
    <col min="14091" max="14091" width="8.77734375" style="120"/>
    <col min="14092" max="14092" width="18.33203125" style="120" customWidth="1"/>
    <col min="14093" max="14093" width="16.44140625" style="120" customWidth="1"/>
    <col min="14094" max="14094" width="9.44140625" style="120" bestFit="1" customWidth="1"/>
    <col min="14095" max="14095" width="17.6640625" style="120" customWidth="1"/>
    <col min="14096" max="14096" width="14.77734375" style="120" bestFit="1" customWidth="1"/>
    <col min="14097" max="14307" width="8.77734375" style="120"/>
    <col min="14308" max="14308" width="24.109375" style="120" customWidth="1"/>
    <col min="14309" max="14311" width="16.44140625" style="120" customWidth="1"/>
    <col min="14312" max="14312" width="18" style="120" customWidth="1"/>
    <col min="14313" max="14313" width="16.44140625" style="120" customWidth="1"/>
    <col min="14314" max="14314" width="4" style="120" customWidth="1"/>
    <col min="14315" max="14317" width="9.33203125" style="120" customWidth="1"/>
    <col min="14318" max="14318" width="22.44140625" style="120" customWidth="1"/>
    <col min="14319" max="14319" width="3.77734375" style="120" customWidth="1"/>
    <col min="14320" max="14320" width="16.44140625" style="120" customWidth="1"/>
    <col min="14321" max="14321" width="17.33203125" style="120" customWidth="1"/>
    <col min="14322" max="14325" width="16.44140625" style="120" customWidth="1"/>
    <col min="14326" max="14327" width="9.33203125" style="120" customWidth="1"/>
    <col min="14328" max="14328" width="18.77734375" style="120" customWidth="1"/>
    <col min="14329" max="14329" width="16.44140625" style="120" customWidth="1"/>
    <col min="14330" max="14330" width="17.77734375" style="120" customWidth="1"/>
    <col min="14331" max="14333" width="16.44140625" style="120" customWidth="1"/>
    <col min="14334" max="14334" width="17.77734375" style="120" bestFit="1" customWidth="1"/>
    <col min="14335" max="14335" width="16.44140625" style="120" customWidth="1"/>
    <col min="14336" max="14336" width="21" style="120" customWidth="1"/>
    <col min="14337" max="14337" width="16.44140625" style="120" customWidth="1"/>
    <col min="14338" max="14338" width="18.33203125" style="120" bestFit="1" customWidth="1"/>
    <col min="14339" max="14339" width="19.109375" style="120" customWidth="1"/>
    <col min="14340" max="14341" width="18.33203125" style="120" customWidth="1"/>
    <col min="14342" max="14342" width="8.77734375" style="120"/>
    <col min="14343" max="14344" width="16.77734375" style="120" customWidth="1"/>
    <col min="14345" max="14346" width="11.6640625" style="120" customWidth="1"/>
    <col min="14347" max="14347" width="8.77734375" style="120"/>
    <col min="14348" max="14348" width="18.33203125" style="120" customWidth="1"/>
    <col min="14349" max="14349" width="16.44140625" style="120" customWidth="1"/>
    <col min="14350" max="14350" width="9.44140625" style="120" bestFit="1" customWidth="1"/>
    <col min="14351" max="14351" width="17.6640625" style="120" customWidth="1"/>
    <col min="14352" max="14352" width="14.77734375" style="120" bestFit="1" customWidth="1"/>
    <col min="14353" max="14563" width="8.77734375" style="120"/>
    <col min="14564" max="14564" width="24.109375" style="120" customWidth="1"/>
    <col min="14565" max="14567" width="16.44140625" style="120" customWidth="1"/>
    <col min="14568" max="14568" width="18" style="120" customWidth="1"/>
    <col min="14569" max="14569" width="16.44140625" style="120" customWidth="1"/>
    <col min="14570" max="14570" width="4" style="120" customWidth="1"/>
    <col min="14571" max="14573" width="9.33203125" style="120" customWidth="1"/>
    <col min="14574" max="14574" width="22.44140625" style="120" customWidth="1"/>
    <col min="14575" max="14575" width="3.77734375" style="120" customWidth="1"/>
    <col min="14576" max="14576" width="16.44140625" style="120" customWidth="1"/>
    <col min="14577" max="14577" width="17.33203125" style="120" customWidth="1"/>
    <col min="14578" max="14581" width="16.44140625" style="120" customWidth="1"/>
    <col min="14582" max="14583" width="9.33203125" style="120" customWidth="1"/>
    <col min="14584" max="14584" width="18.77734375" style="120" customWidth="1"/>
    <col min="14585" max="14585" width="16.44140625" style="120" customWidth="1"/>
    <col min="14586" max="14586" width="17.77734375" style="120" customWidth="1"/>
    <col min="14587" max="14589" width="16.44140625" style="120" customWidth="1"/>
    <col min="14590" max="14590" width="17.77734375" style="120" bestFit="1" customWidth="1"/>
    <col min="14591" max="14591" width="16.44140625" style="120" customWidth="1"/>
    <col min="14592" max="14592" width="21" style="120" customWidth="1"/>
    <col min="14593" max="14593" width="16.44140625" style="120" customWidth="1"/>
    <col min="14594" max="14594" width="18.33203125" style="120" bestFit="1" customWidth="1"/>
    <col min="14595" max="14595" width="19.109375" style="120" customWidth="1"/>
    <col min="14596" max="14597" width="18.33203125" style="120" customWidth="1"/>
    <col min="14598" max="14598" width="8.77734375" style="120"/>
    <col min="14599" max="14600" width="16.77734375" style="120" customWidth="1"/>
    <col min="14601" max="14602" width="11.6640625" style="120" customWidth="1"/>
    <col min="14603" max="14603" width="8.77734375" style="120"/>
    <col min="14604" max="14604" width="18.33203125" style="120" customWidth="1"/>
    <col min="14605" max="14605" width="16.44140625" style="120" customWidth="1"/>
    <col min="14606" max="14606" width="9.44140625" style="120" bestFit="1" customWidth="1"/>
    <col min="14607" max="14607" width="17.6640625" style="120" customWidth="1"/>
    <col min="14608" max="14608" width="14.77734375" style="120" bestFit="1" customWidth="1"/>
    <col min="14609" max="14819" width="8.77734375" style="120"/>
    <col min="14820" max="14820" width="24.109375" style="120" customWidth="1"/>
    <col min="14821" max="14823" width="16.44140625" style="120" customWidth="1"/>
    <col min="14824" max="14824" width="18" style="120" customWidth="1"/>
    <col min="14825" max="14825" width="16.44140625" style="120" customWidth="1"/>
    <col min="14826" max="14826" width="4" style="120" customWidth="1"/>
    <col min="14827" max="14829" width="9.33203125" style="120" customWidth="1"/>
    <col min="14830" max="14830" width="22.44140625" style="120" customWidth="1"/>
    <col min="14831" max="14831" width="3.77734375" style="120" customWidth="1"/>
    <col min="14832" max="14832" width="16.44140625" style="120" customWidth="1"/>
    <col min="14833" max="14833" width="17.33203125" style="120" customWidth="1"/>
    <col min="14834" max="14837" width="16.44140625" style="120" customWidth="1"/>
    <col min="14838" max="14839" width="9.33203125" style="120" customWidth="1"/>
    <col min="14840" max="14840" width="18.77734375" style="120" customWidth="1"/>
    <col min="14841" max="14841" width="16.44140625" style="120" customWidth="1"/>
    <col min="14842" max="14842" width="17.77734375" style="120" customWidth="1"/>
    <col min="14843" max="14845" width="16.44140625" style="120" customWidth="1"/>
    <col min="14846" max="14846" width="17.77734375" style="120" bestFit="1" customWidth="1"/>
    <col min="14847" max="14847" width="16.44140625" style="120" customWidth="1"/>
    <col min="14848" max="14848" width="21" style="120" customWidth="1"/>
    <col min="14849" max="14849" width="16.44140625" style="120" customWidth="1"/>
    <col min="14850" max="14850" width="18.33203125" style="120" bestFit="1" customWidth="1"/>
    <col min="14851" max="14851" width="19.109375" style="120" customWidth="1"/>
    <col min="14852" max="14853" width="18.33203125" style="120" customWidth="1"/>
    <col min="14854" max="14854" width="8.77734375" style="120"/>
    <col min="14855" max="14856" width="16.77734375" style="120" customWidth="1"/>
    <col min="14857" max="14858" width="11.6640625" style="120" customWidth="1"/>
    <col min="14859" max="14859" width="8.77734375" style="120"/>
    <col min="14860" max="14860" width="18.33203125" style="120" customWidth="1"/>
    <col min="14861" max="14861" width="16.44140625" style="120" customWidth="1"/>
    <col min="14862" max="14862" width="9.44140625" style="120" bestFit="1" customWidth="1"/>
    <col min="14863" max="14863" width="17.6640625" style="120" customWidth="1"/>
    <col min="14864" max="14864" width="14.77734375" style="120" bestFit="1" customWidth="1"/>
    <col min="14865" max="15075" width="8.77734375" style="120"/>
    <col min="15076" max="15076" width="24.109375" style="120" customWidth="1"/>
    <col min="15077" max="15079" width="16.44140625" style="120" customWidth="1"/>
    <col min="15080" max="15080" width="18" style="120" customWidth="1"/>
    <col min="15081" max="15081" width="16.44140625" style="120" customWidth="1"/>
    <col min="15082" max="15082" width="4" style="120" customWidth="1"/>
    <col min="15083" max="15085" width="9.33203125" style="120" customWidth="1"/>
    <col min="15086" max="15086" width="22.44140625" style="120" customWidth="1"/>
    <col min="15087" max="15087" width="3.77734375" style="120" customWidth="1"/>
    <col min="15088" max="15088" width="16.44140625" style="120" customWidth="1"/>
    <col min="15089" max="15089" width="17.33203125" style="120" customWidth="1"/>
    <col min="15090" max="15093" width="16.44140625" style="120" customWidth="1"/>
    <col min="15094" max="15095" width="9.33203125" style="120" customWidth="1"/>
    <col min="15096" max="15096" width="18.77734375" style="120" customWidth="1"/>
    <col min="15097" max="15097" width="16.44140625" style="120" customWidth="1"/>
    <col min="15098" max="15098" width="17.77734375" style="120" customWidth="1"/>
    <col min="15099" max="15101" width="16.44140625" style="120" customWidth="1"/>
    <col min="15102" max="15102" width="17.77734375" style="120" bestFit="1" customWidth="1"/>
    <col min="15103" max="15103" width="16.44140625" style="120" customWidth="1"/>
    <col min="15104" max="15104" width="21" style="120" customWidth="1"/>
    <col min="15105" max="15105" width="16.44140625" style="120" customWidth="1"/>
    <col min="15106" max="15106" width="18.33203125" style="120" bestFit="1" customWidth="1"/>
    <col min="15107" max="15107" width="19.109375" style="120" customWidth="1"/>
    <col min="15108" max="15109" width="18.33203125" style="120" customWidth="1"/>
    <col min="15110" max="15110" width="8.77734375" style="120"/>
    <col min="15111" max="15112" width="16.77734375" style="120" customWidth="1"/>
    <col min="15113" max="15114" width="11.6640625" style="120" customWidth="1"/>
    <col min="15115" max="15115" width="8.77734375" style="120"/>
    <col min="15116" max="15116" width="18.33203125" style="120" customWidth="1"/>
    <col min="15117" max="15117" width="16.44140625" style="120" customWidth="1"/>
    <col min="15118" max="15118" width="9.44140625" style="120" bestFit="1" customWidth="1"/>
    <col min="15119" max="15119" width="17.6640625" style="120" customWidth="1"/>
    <col min="15120" max="15120" width="14.77734375" style="120" bestFit="1" customWidth="1"/>
    <col min="15121" max="15331" width="8.77734375" style="120"/>
    <col min="15332" max="15332" width="24.109375" style="120" customWidth="1"/>
    <col min="15333" max="15335" width="16.44140625" style="120" customWidth="1"/>
    <col min="15336" max="15336" width="18" style="120" customWidth="1"/>
    <col min="15337" max="15337" width="16.44140625" style="120" customWidth="1"/>
    <col min="15338" max="15338" width="4" style="120" customWidth="1"/>
    <col min="15339" max="15341" width="9.33203125" style="120" customWidth="1"/>
    <col min="15342" max="15342" width="22.44140625" style="120" customWidth="1"/>
    <col min="15343" max="15343" width="3.77734375" style="120" customWidth="1"/>
    <col min="15344" max="15344" width="16.44140625" style="120" customWidth="1"/>
    <col min="15345" max="15345" width="17.33203125" style="120" customWidth="1"/>
    <col min="15346" max="15349" width="16.44140625" style="120" customWidth="1"/>
    <col min="15350" max="15351" width="9.33203125" style="120" customWidth="1"/>
    <col min="15352" max="15352" width="18.77734375" style="120" customWidth="1"/>
    <col min="15353" max="15353" width="16.44140625" style="120" customWidth="1"/>
    <col min="15354" max="15354" width="17.77734375" style="120" customWidth="1"/>
    <col min="15355" max="15357" width="16.44140625" style="120" customWidth="1"/>
    <col min="15358" max="15358" width="17.77734375" style="120" bestFit="1" customWidth="1"/>
    <col min="15359" max="15359" width="16.44140625" style="120" customWidth="1"/>
    <col min="15360" max="15360" width="21" style="120" customWidth="1"/>
    <col min="15361" max="15361" width="16.44140625" style="120" customWidth="1"/>
    <col min="15362" max="15362" width="18.33203125" style="120" bestFit="1" customWidth="1"/>
    <col min="15363" max="15363" width="19.109375" style="120" customWidth="1"/>
    <col min="15364" max="15365" width="18.33203125" style="120" customWidth="1"/>
    <col min="15366" max="15366" width="8.77734375" style="120"/>
    <col min="15367" max="15368" width="16.77734375" style="120" customWidth="1"/>
    <col min="15369" max="15370" width="11.6640625" style="120" customWidth="1"/>
    <col min="15371" max="15371" width="8.77734375" style="120"/>
    <col min="15372" max="15372" width="18.33203125" style="120" customWidth="1"/>
    <col min="15373" max="15373" width="16.44140625" style="120" customWidth="1"/>
    <col min="15374" max="15374" width="9.44140625" style="120" bestFit="1" customWidth="1"/>
    <col min="15375" max="15375" width="17.6640625" style="120" customWidth="1"/>
    <col min="15376" max="15376" width="14.77734375" style="120" bestFit="1" customWidth="1"/>
    <col min="15377" max="15587" width="8.77734375" style="120"/>
    <col min="15588" max="15588" width="24.109375" style="120" customWidth="1"/>
    <col min="15589" max="15591" width="16.44140625" style="120" customWidth="1"/>
    <col min="15592" max="15592" width="18" style="120" customWidth="1"/>
    <col min="15593" max="15593" width="16.44140625" style="120" customWidth="1"/>
    <col min="15594" max="15594" width="4" style="120" customWidth="1"/>
    <col min="15595" max="15597" width="9.33203125" style="120" customWidth="1"/>
    <col min="15598" max="15598" width="22.44140625" style="120" customWidth="1"/>
    <col min="15599" max="15599" width="3.77734375" style="120" customWidth="1"/>
    <col min="15600" max="15600" width="16.44140625" style="120" customWidth="1"/>
    <col min="15601" max="15601" width="17.33203125" style="120" customWidth="1"/>
    <col min="15602" max="15605" width="16.44140625" style="120" customWidth="1"/>
    <col min="15606" max="15607" width="9.33203125" style="120" customWidth="1"/>
    <col min="15608" max="15608" width="18.77734375" style="120" customWidth="1"/>
    <col min="15609" max="15609" width="16.44140625" style="120" customWidth="1"/>
    <col min="15610" max="15610" width="17.77734375" style="120" customWidth="1"/>
    <col min="15611" max="15613" width="16.44140625" style="120" customWidth="1"/>
    <col min="15614" max="15614" width="17.77734375" style="120" bestFit="1" customWidth="1"/>
    <col min="15615" max="15615" width="16.44140625" style="120" customWidth="1"/>
    <col min="15616" max="15616" width="21" style="120" customWidth="1"/>
    <col min="15617" max="15617" width="16.44140625" style="120" customWidth="1"/>
    <col min="15618" max="15618" width="18.33203125" style="120" bestFit="1" customWidth="1"/>
    <col min="15619" max="15619" width="19.109375" style="120" customWidth="1"/>
    <col min="15620" max="15621" width="18.33203125" style="120" customWidth="1"/>
    <col min="15622" max="15622" width="8.77734375" style="120"/>
    <col min="15623" max="15624" width="16.77734375" style="120" customWidth="1"/>
    <col min="15625" max="15626" width="11.6640625" style="120" customWidth="1"/>
    <col min="15627" max="15627" width="8.77734375" style="120"/>
    <col min="15628" max="15628" width="18.33203125" style="120" customWidth="1"/>
    <col min="15629" max="15629" width="16.44140625" style="120" customWidth="1"/>
    <col min="15630" max="15630" width="9.44140625" style="120" bestFit="1" customWidth="1"/>
    <col min="15631" max="15631" width="17.6640625" style="120" customWidth="1"/>
    <col min="15632" max="15632" width="14.77734375" style="120" bestFit="1" customWidth="1"/>
    <col min="15633" max="15843" width="8.77734375" style="120"/>
    <col min="15844" max="15844" width="24.109375" style="120" customWidth="1"/>
    <col min="15845" max="15847" width="16.44140625" style="120" customWidth="1"/>
    <col min="15848" max="15848" width="18" style="120" customWidth="1"/>
    <col min="15849" max="15849" width="16.44140625" style="120" customWidth="1"/>
    <col min="15850" max="15850" width="4" style="120" customWidth="1"/>
    <col min="15851" max="15853" width="9.33203125" style="120" customWidth="1"/>
    <col min="15854" max="15854" width="22.44140625" style="120" customWidth="1"/>
    <col min="15855" max="15855" width="3.77734375" style="120" customWidth="1"/>
    <col min="15856" max="15856" width="16.44140625" style="120" customWidth="1"/>
    <col min="15857" max="15857" width="17.33203125" style="120" customWidth="1"/>
    <col min="15858" max="15861" width="16.44140625" style="120" customWidth="1"/>
    <col min="15862" max="15863" width="9.33203125" style="120" customWidth="1"/>
    <col min="15864" max="15864" width="18.77734375" style="120" customWidth="1"/>
    <col min="15865" max="15865" width="16.44140625" style="120" customWidth="1"/>
    <col min="15866" max="15866" width="17.77734375" style="120" customWidth="1"/>
    <col min="15867" max="15869" width="16.44140625" style="120" customWidth="1"/>
    <col min="15870" max="15870" width="17.77734375" style="120" bestFit="1" customWidth="1"/>
    <col min="15871" max="15871" width="16.44140625" style="120" customWidth="1"/>
    <col min="15872" max="15872" width="21" style="120" customWidth="1"/>
    <col min="15873" max="15873" width="16.44140625" style="120" customWidth="1"/>
    <col min="15874" max="15874" width="18.33203125" style="120" bestFit="1" customWidth="1"/>
    <col min="15875" max="15875" width="19.109375" style="120" customWidth="1"/>
    <col min="15876" max="15877" width="18.33203125" style="120" customWidth="1"/>
    <col min="15878" max="15878" width="8.77734375" style="120"/>
    <col min="15879" max="15880" width="16.77734375" style="120" customWidth="1"/>
    <col min="15881" max="15882" width="11.6640625" style="120" customWidth="1"/>
    <col min="15883" max="15883" width="8.77734375" style="120"/>
    <col min="15884" max="15884" width="18.33203125" style="120" customWidth="1"/>
    <col min="15885" max="15885" width="16.44140625" style="120" customWidth="1"/>
    <col min="15886" max="15886" width="9.44140625" style="120" bestFit="1" customWidth="1"/>
    <col min="15887" max="15887" width="17.6640625" style="120" customWidth="1"/>
    <col min="15888" max="15888" width="14.77734375" style="120" bestFit="1" customWidth="1"/>
    <col min="15889" max="16099" width="8.77734375" style="120"/>
    <col min="16100" max="16100" width="24.109375" style="120" customWidth="1"/>
    <col min="16101" max="16103" width="16.44140625" style="120" customWidth="1"/>
    <col min="16104" max="16104" width="18" style="120" customWidth="1"/>
    <col min="16105" max="16105" width="16.44140625" style="120" customWidth="1"/>
    <col min="16106" max="16106" width="4" style="120" customWidth="1"/>
    <col min="16107" max="16109" width="9.33203125" style="120" customWidth="1"/>
    <col min="16110" max="16110" width="22.44140625" style="120" customWidth="1"/>
    <col min="16111" max="16111" width="3.77734375" style="120" customWidth="1"/>
    <col min="16112" max="16112" width="16.44140625" style="120" customWidth="1"/>
    <col min="16113" max="16113" width="17.33203125" style="120" customWidth="1"/>
    <col min="16114" max="16117" width="16.44140625" style="120" customWidth="1"/>
    <col min="16118" max="16119" width="9.33203125" style="120" customWidth="1"/>
    <col min="16120" max="16120" width="18.77734375" style="120" customWidth="1"/>
    <col min="16121" max="16121" width="16.44140625" style="120" customWidth="1"/>
    <col min="16122" max="16122" width="17.77734375" style="120" customWidth="1"/>
    <col min="16123" max="16125" width="16.44140625" style="120" customWidth="1"/>
    <col min="16126" max="16126" width="17.77734375" style="120" bestFit="1" customWidth="1"/>
    <col min="16127" max="16127" width="16.44140625" style="120" customWidth="1"/>
    <col min="16128" max="16128" width="21" style="120" customWidth="1"/>
    <col min="16129" max="16129" width="16.44140625" style="120" customWidth="1"/>
    <col min="16130" max="16130" width="18.33203125" style="120" bestFit="1" customWidth="1"/>
    <col min="16131" max="16131" width="19.109375" style="120" customWidth="1"/>
    <col min="16132" max="16133" width="18.33203125" style="120" customWidth="1"/>
    <col min="16134" max="16134" width="8.77734375" style="120"/>
    <col min="16135" max="16136" width="16.77734375" style="120" customWidth="1"/>
    <col min="16137" max="16138" width="11.6640625" style="120" customWidth="1"/>
    <col min="16139" max="16139" width="8.77734375" style="120"/>
    <col min="16140" max="16140" width="18.33203125" style="120" customWidth="1"/>
    <col min="16141" max="16141" width="16.44140625" style="120" customWidth="1"/>
    <col min="16142" max="16142" width="9.44140625" style="120" bestFit="1" customWidth="1"/>
    <col min="16143" max="16143" width="17.6640625" style="120" customWidth="1"/>
    <col min="16144" max="16144" width="14.77734375" style="120" bestFit="1" customWidth="1"/>
    <col min="16145" max="16384" width="8.77734375" style="120"/>
  </cols>
  <sheetData>
    <row r="1" spans="1:22" s="116" customFormat="1" ht="18.75" customHeight="1" x14ac:dyDescent="0.3">
      <c r="A1" s="115" t="s">
        <v>130</v>
      </c>
      <c r="B1" s="115"/>
      <c r="C1" s="115"/>
      <c r="G1" s="152"/>
      <c r="M1" s="153"/>
      <c r="Q1" s="150"/>
      <c r="S1" s="178" t="s">
        <v>121</v>
      </c>
      <c r="T1" s="154"/>
    </row>
    <row r="2" spans="1:22" s="117" customFormat="1" ht="6" customHeight="1" x14ac:dyDescent="0.3">
      <c r="A2" s="155"/>
      <c r="U2" s="118"/>
    </row>
    <row r="3" spans="1:22" ht="15.75" customHeight="1" thickBot="1" x14ac:dyDescent="0.35">
      <c r="A3" s="119"/>
      <c r="C3" s="22">
        <v>-1</v>
      </c>
      <c r="D3" s="22">
        <v>-2</v>
      </c>
      <c r="E3" s="22">
        <v>-3</v>
      </c>
      <c r="F3" s="114" t="s">
        <v>91</v>
      </c>
      <c r="G3" s="114" t="s">
        <v>92</v>
      </c>
      <c r="H3" s="114"/>
      <c r="I3" s="114" t="s">
        <v>88</v>
      </c>
      <c r="J3" s="114" t="s">
        <v>93</v>
      </c>
      <c r="K3" s="114" t="s">
        <v>94</v>
      </c>
      <c r="L3" s="114" t="s">
        <v>95</v>
      </c>
      <c r="M3" s="114" t="s">
        <v>96</v>
      </c>
      <c r="N3" s="114" t="s">
        <v>97</v>
      </c>
      <c r="O3" s="114" t="s">
        <v>98</v>
      </c>
      <c r="P3" s="114" t="s">
        <v>99</v>
      </c>
      <c r="Q3" s="114" t="s">
        <v>100</v>
      </c>
      <c r="R3" s="114" t="s">
        <v>101</v>
      </c>
      <c r="S3" s="114" t="s">
        <v>102</v>
      </c>
      <c r="T3" s="114" t="s">
        <v>103</v>
      </c>
      <c r="U3" s="114" t="s">
        <v>104</v>
      </c>
    </row>
    <row r="4" spans="1:22" ht="16.2" thickBot="1" x14ac:dyDescent="0.35">
      <c r="A4" s="121"/>
      <c r="B4" s="431" t="s">
        <v>108</v>
      </c>
      <c r="C4" s="432"/>
      <c r="D4" s="432"/>
      <c r="E4" s="432"/>
      <c r="F4" s="432"/>
      <c r="G4" s="433"/>
      <c r="H4" s="431" t="s">
        <v>69</v>
      </c>
      <c r="I4" s="432"/>
      <c r="J4" s="432"/>
      <c r="K4" s="432"/>
      <c r="L4" s="432"/>
      <c r="M4" s="433"/>
      <c r="N4" s="434" t="s">
        <v>36</v>
      </c>
      <c r="O4" s="435"/>
      <c r="P4" s="435"/>
      <c r="Q4" s="435"/>
      <c r="R4" s="435"/>
      <c r="S4" s="436" t="s">
        <v>59</v>
      </c>
      <c r="T4" s="437"/>
      <c r="U4" s="438"/>
      <c r="V4" s="306"/>
    </row>
    <row r="5" spans="1:22" s="125" customFormat="1" ht="79.8" thickBot="1" x14ac:dyDescent="0.3">
      <c r="A5" s="122"/>
      <c r="B5" s="156" t="s">
        <v>106</v>
      </c>
      <c r="C5" s="123" t="s">
        <v>65</v>
      </c>
      <c r="D5" s="123" t="s">
        <v>89</v>
      </c>
      <c r="E5" s="123" t="s">
        <v>90</v>
      </c>
      <c r="F5" s="124" t="s">
        <v>146</v>
      </c>
      <c r="G5" s="151" t="s">
        <v>81</v>
      </c>
      <c r="H5" s="123" t="s">
        <v>105</v>
      </c>
      <c r="I5" s="123" t="s">
        <v>65</v>
      </c>
      <c r="J5" s="123" t="s">
        <v>89</v>
      </c>
      <c r="K5" s="123" t="s">
        <v>83</v>
      </c>
      <c r="L5" s="124" t="s">
        <v>146</v>
      </c>
      <c r="M5" s="151" t="s">
        <v>81</v>
      </c>
      <c r="N5" s="124" t="s">
        <v>37</v>
      </c>
      <c r="O5" s="123" t="s">
        <v>89</v>
      </c>
      <c r="P5" s="123" t="s">
        <v>84</v>
      </c>
      <c r="Q5" s="124" t="s">
        <v>146</v>
      </c>
      <c r="R5" s="123" t="s">
        <v>81</v>
      </c>
      <c r="S5" s="311" t="s">
        <v>182</v>
      </c>
      <c r="T5" s="124" t="s">
        <v>183</v>
      </c>
      <c r="U5" s="312" t="s">
        <v>184</v>
      </c>
      <c r="V5" s="307"/>
    </row>
    <row r="6" spans="1:22" s="176" customFormat="1" ht="10.199999999999999" x14ac:dyDescent="0.25">
      <c r="A6" s="167"/>
      <c r="B6" s="168"/>
      <c r="C6" s="168"/>
      <c r="D6" s="168"/>
      <c r="E6" s="169" t="s">
        <v>109</v>
      </c>
      <c r="F6" s="168"/>
      <c r="G6" s="169" t="s">
        <v>110</v>
      </c>
      <c r="H6" s="170"/>
      <c r="I6" s="171"/>
      <c r="J6" s="171"/>
      <c r="K6" s="172" t="s">
        <v>111</v>
      </c>
      <c r="L6" s="168"/>
      <c r="M6" s="173" t="s">
        <v>190</v>
      </c>
      <c r="N6" s="174" t="s">
        <v>112</v>
      </c>
      <c r="O6" s="174" t="s">
        <v>113</v>
      </c>
      <c r="P6" s="174" t="s">
        <v>116</v>
      </c>
      <c r="Q6" s="174" t="s">
        <v>114</v>
      </c>
      <c r="R6" s="174" t="s">
        <v>115</v>
      </c>
      <c r="S6" s="313" t="s">
        <v>118</v>
      </c>
      <c r="T6" s="175" t="s">
        <v>117</v>
      </c>
      <c r="U6" s="314" t="s">
        <v>119</v>
      </c>
      <c r="V6" s="308"/>
    </row>
    <row r="7" spans="1:22" s="129" customFormat="1" ht="6" customHeight="1" x14ac:dyDescent="0.25">
      <c r="A7" s="126"/>
      <c r="B7" s="127"/>
      <c r="C7" s="127"/>
      <c r="D7" s="127"/>
      <c r="E7" s="127"/>
      <c r="F7" s="127"/>
      <c r="G7" s="127"/>
      <c r="H7" s="128"/>
      <c r="I7" s="127"/>
      <c r="J7" s="127"/>
      <c r="K7" s="127"/>
      <c r="L7" s="127"/>
      <c r="M7" s="157"/>
      <c r="N7" s="127"/>
      <c r="O7" s="127"/>
      <c r="P7" s="127"/>
      <c r="Q7" s="127"/>
      <c r="R7" s="127"/>
      <c r="S7" s="309"/>
      <c r="T7" s="127"/>
      <c r="U7" s="315"/>
      <c r="V7" s="309"/>
    </row>
    <row r="8" spans="1:22" ht="12.75" customHeight="1" x14ac:dyDescent="0.25">
      <c r="A8" s="130" t="s">
        <v>0</v>
      </c>
      <c r="B8" s="177">
        <v>6861</v>
      </c>
      <c r="C8" s="131">
        <v>-341000</v>
      </c>
      <c r="D8" s="131">
        <v>247000</v>
      </c>
      <c r="E8" s="132">
        <f>-ROUND((D8/3)/1000,0)*1000</f>
        <v>-82000</v>
      </c>
      <c r="F8" s="131">
        <v>3603000</v>
      </c>
      <c r="G8" s="132">
        <f>-ROUND((F8/3)/1000,0)*1000</f>
        <v>-1201000</v>
      </c>
      <c r="H8" s="135">
        <v>117.344444</v>
      </c>
      <c r="I8" s="131">
        <v>1000</v>
      </c>
      <c r="J8" s="131">
        <v>0</v>
      </c>
      <c r="K8" s="132">
        <f>-ROUND((J8/3)/1000,0)*1000</f>
        <v>0</v>
      </c>
      <c r="L8" s="131">
        <v>60000</v>
      </c>
      <c r="M8" s="158">
        <f>-ROUND(L8/3,-3)</f>
        <v>-20000</v>
      </c>
      <c r="N8" s="131">
        <f t="shared" ref="N8:R9" si="0">C8+I8</f>
        <v>-340000</v>
      </c>
      <c r="O8" s="131">
        <f t="shared" si="0"/>
        <v>247000</v>
      </c>
      <c r="P8" s="131">
        <f t="shared" si="0"/>
        <v>-82000</v>
      </c>
      <c r="Q8" s="131">
        <f t="shared" si="0"/>
        <v>3663000</v>
      </c>
      <c r="R8" s="131">
        <f>G8+M8-1000</f>
        <v>-1222000</v>
      </c>
      <c r="S8" s="316">
        <f>N8+O8+Q8</f>
        <v>3570000</v>
      </c>
      <c r="T8" s="131">
        <f>P8+R8</f>
        <v>-1304000</v>
      </c>
      <c r="U8" s="317">
        <f>S8+T8</f>
        <v>2266000</v>
      </c>
      <c r="V8" s="306"/>
    </row>
    <row r="9" spans="1:22" ht="12.75" customHeight="1" x14ac:dyDescent="0.25">
      <c r="A9" s="133" t="s">
        <v>1</v>
      </c>
      <c r="B9" s="177">
        <v>3250</v>
      </c>
      <c r="C9" s="134">
        <v>9000</v>
      </c>
      <c r="D9" s="134">
        <v>0</v>
      </c>
      <c r="E9" s="134">
        <f t="shared" ref="E9:G30" si="1">-ROUND((D9/3)/1000,0)*1000</f>
        <v>0</v>
      </c>
      <c r="F9" s="134">
        <v>1805000</v>
      </c>
      <c r="G9" s="134">
        <f t="shared" si="1"/>
        <v>-602000</v>
      </c>
      <c r="H9" s="135">
        <v>14.1</v>
      </c>
      <c r="I9" s="134">
        <v>39000</v>
      </c>
      <c r="J9" s="134">
        <v>0</v>
      </c>
      <c r="K9" s="134">
        <f t="shared" ref="K9:K30" si="2">-ROUND((J9/3)/1000,0)*1000</f>
        <v>0</v>
      </c>
      <c r="L9" s="134">
        <v>10000</v>
      </c>
      <c r="M9" s="159">
        <f t="shared" ref="M9:M30" si="3">-ROUND(L9/3,-3)</f>
        <v>-3000</v>
      </c>
      <c r="N9" s="134">
        <f t="shared" si="0"/>
        <v>48000</v>
      </c>
      <c r="O9" s="134">
        <f t="shared" si="0"/>
        <v>0</v>
      </c>
      <c r="P9" s="134">
        <f t="shared" si="0"/>
        <v>0</v>
      </c>
      <c r="Q9" s="134">
        <f t="shared" si="0"/>
        <v>1815000</v>
      </c>
      <c r="R9" s="134">
        <f t="shared" si="0"/>
        <v>-605000</v>
      </c>
      <c r="S9" s="318">
        <f>N9+O9+Q9</f>
        <v>1863000</v>
      </c>
      <c r="T9" s="134">
        <f>P9+R9</f>
        <v>-605000</v>
      </c>
      <c r="U9" s="319">
        <f>S9+T9</f>
        <v>1258000</v>
      </c>
      <c r="V9" s="306"/>
    </row>
    <row r="10" spans="1:22" ht="12.75" customHeight="1" x14ac:dyDescent="0.25">
      <c r="A10" s="133" t="s">
        <v>2</v>
      </c>
      <c r="B10" s="177">
        <v>14193</v>
      </c>
      <c r="C10" s="134">
        <v>-402000</v>
      </c>
      <c r="D10" s="134">
        <v>0</v>
      </c>
      <c r="E10" s="134">
        <f t="shared" si="1"/>
        <v>0</v>
      </c>
      <c r="F10" s="134">
        <v>7287000</v>
      </c>
      <c r="G10" s="134">
        <f t="shared" si="1"/>
        <v>-2429000</v>
      </c>
      <c r="H10" s="135">
        <v>537.02499999999998</v>
      </c>
      <c r="I10" s="134">
        <v>251000</v>
      </c>
      <c r="J10" s="134">
        <v>0</v>
      </c>
      <c r="K10" s="134">
        <f t="shared" si="2"/>
        <v>0</v>
      </c>
      <c r="L10" s="134">
        <v>296000</v>
      </c>
      <c r="M10" s="159">
        <f t="shared" si="3"/>
        <v>-99000</v>
      </c>
      <c r="N10" s="134">
        <f t="shared" ref="N10:N30" si="4">C10+I10</f>
        <v>-151000</v>
      </c>
      <c r="O10" s="134">
        <f t="shared" ref="O10:O30" si="5">D10+J10</f>
        <v>0</v>
      </c>
      <c r="P10" s="134">
        <f t="shared" ref="P10:P30" si="6">E10+K10</f>
        <v>0</v>
      </c>
      <c r="Q10" s="134">
        <f t="shared" ref="Q10:Q30" si="7">F10+L10</f>
        <v>7583000</v>
      </c>
      <c r="R10" s="134">
        <f t="shared" ref="R10:R30" si="8">G10+M10</f>
        <v>-2528000</v>
      </c>
      <c r="S10" s="318">
        <f t="shared" ref="S10:S30" si="9">N10+O10+Q10</f>
        <v>7432000</v>
      </c>
      <c r="T10" s="134">
        <f t="shared" ref="T10:T30" si="10">P10+R10</f>
        <v>-2528000</v>
      </c>
      <c r="U10" s="319">
        <f t="shared" ref="U10:U30" si="11">S10+T10</f>
        <v>4904000</v>
      </c>
      <c r="V10" s="306"/>
    </row>
    <row r="11" spans="1:22" ht="12.75" customHeight="1" x14ac:dyDescent="0.25">
      <c r="A11" s="133" t="s">
        <v>3</v>
      </c>
      <c r="B11" s="177">
        <v>9425</v>
      </c>
      <c r="C11" s="134">
        <v>-812000</v>
      </c>
      <c r="D11" s="134">
        <v>0</v>
      </c>
      <c r="E11" s="134">
        <f t="shared" si="1"/>
        <v>0</v>
      </c>
      <c r="F11" s="134">
        <v>5804000</v>
      </c>
      <c r="G11" s="134">
        <f t="shared" si="1"/>
        <v>-1935000</v>
      </c>
      <c r="H11" s="135">
        <v>86.808334000000002</v>
      </c>
      <c r="I11" s="134">
        <v>-108000</v>
      </c>
      <c r="J11" s="134">
        <v>0</v>
      </c>
      <c r="K11" s="134">
        <f t="shared" si="2"/>
        <v>0</v>
      </c>
      <c r="L11" s="134">
        <v>57000</v>
      </c>
      <c r="M11" s="159">
        <f t="shared" si="3"/>
        <v>-19000</v>
      </c>
      <c r="N11" s="134">
        <f t="shared" si="4"/>
        <v>-920000</v>
      </c>
      <c r="O11" s="134">
        <f t="shared" si="5"/>
        <v>0</v>
      </c>
      <c r="P11" s="134">
        <f t="shared" si="6"/>
        <v>0</v>
      </c>
      <c r="Q11" s="134">
        <f t="shared" si="7"/>
        <v>5861000</v>
      </c>
      <c r="R11" s="134">
        <f t="shared" si="8"/>
        <v>-1954000</v>
      </c>
      <c r="S11" s="318">
        <f t="shared" si="9"/>
        <v>4941000</v>
      </c>
      <c r="T11" s="134">
        <f t="shared" si="10"/>
        <v>-1954000</v>
      </c>
      <c r="U11" s="319">
        <f t="shared" si="11"/>
        <v>2987000</v>
      </c>
      <c r="V11" s="306"/>
    </row>
    <row r="12" spans="1:22" ht="12.75" customHeight="1" x14ac:dyDescent="0.25">
      <c r="A12" s="133" t="s">
        <v>28</v>
      </c>
      <c r="B12" s="177">
        <v>11300</v>
      </c>
      <c r="C12" s="134">
        <v>-435000</v>
      </c>
      <c r="D12" s="134">
        <v>295000</v>
      </c>
      <c r="E12" s="134">
        <f t="shared" si="1"/>
        <v>-98000</v>
      </c>
      <c r="F12" s="134">
        <v>6151000</v>
      </c>
      <c r="G12" s="134">
        <f t="shared" si="1"/>
        <v>-2050000</v>
      </c>
      <c r="H12" s="135">
        <v>1004.3888889999999</v>
      </c>
      <c r="I12" s="134">
        <v>-971000</v>
      </c>
      <c r="J12" s="134">
        <v>5000</v>
      </c>
      <c r="K12" s="134">
        <f t="shared" si="2"/>
        <v>-2000</v>
      </c>
      <c r="L12" s="134">
        <v>570000</v>
      </c>
      <c r="M12" s="159">
        <f t="shared" si="3"/>
        <v>-190000</v>
      </c>
      <c r="N12" s="134">
        <f t="shared" si="4"/>
        <v>-1406000</v>
      </c>
      <c r="O12" s="134">
        <f t="shared" si="5"/>
        <v>300000</v>
      </c>
      <c r="P12" s="134">
        <f t="shared" si="6"/>
        <v>-100000</v>
      </c>
      <c r="Q12" s="134">
        <f t="shared" si="7"/>
        <v>6721000</v>
      </c>
      <c r="R12" s="134">
        <f t="shared" si="8"/>
        <v>-2240000</v>
      </c>
      <c r="S12" s="318">
        <f t="shared" si="9"/>
        <v>5615000</v>
      </c>
      <c r="T12" s="134">
        <f t="shared" si="10"/>
        <v>-2340000</v>
      </c>
      <c r="U12" s="319">
        <f t="shared" si="11"/>
        <v>3275000</v>
      </c>
      <c r="V12" s="306"/>
    </row>
    <row r="13" spans="1:22" ht="12.75" customHeight="1" x14ac:dyDescent="0.25">
      <c r="A13" s="133" t="s">
        <v>4</v>
      </c>
      <c r="B13" s="177">
        <v>17567</v>
      </c>
      <c r="C13" s="134">
        <v>-492000</v>
      </c>
      <c r="D13" s="134">
        <v>0</v>
      </c>
      <c r="E13" s="134">
        <f t="shared" si="1"/>
        <v>0</v>
      </c>
      <c r="F13" s="134">
        <v>9562000</v>
      </c>
      <c r="G13" s="134">
        <f t="shared" si="1"/>
        <v>-3187000</v>
      </c>
      <c r="H13" s="135">
        <v>406.71666599999998</v>
      </c>
      <c r="I13" s="134">
        <v>-141000</v>
      </c>
      <c r="J13" s="134">
        <v>0</v>
      </c>
      <c r="K13" s="134">
        <f t="shared" si="2"/>
        <v>0</v>
      </c>
      <c r="L13" s="134">
        <v>244000</v>
      </c>
      <c r="M13" s="159">
        <f t="shared" si="3"/>
        <v>-81000</v>
      </c>
      <c r="N13" s="134">
        <f t="shared" si="4"/>
        <v>-633000</v>
      </c>
      <c r="O13" s="134">
        <f t="shared" si="5"/>
        <v>0</v>
      </c>
      <c r="P13" s="134">
        <f t="shared" si="6"/>
        <v>0</v>
      </c>
      <c r="Q13" s="134">
        <f t="shared" si="7"/>
        <v>9806000</v>
      </c>
      <c r="R13" s="134">
        <f t="shared" si="8"/>
        <v>-3268000</v>
      </c>
      <c r="S13" s="318">
        <f t="shared" si="9"/>
        <v>9173000</v>
      </c>
      <c r="T13" s="134">
        <f t="shared" si="10"/>
        <v>-3268000</v>
      </c>
      <c r="U13" s="319">
        <f t="shared" si="11"/>
        <v>5905000</v>
      </c>
      <c r="V13" s="306"/>
    </row>
    <row r="14" spans="1:22" ht="12.75" customHeight="1" x14ac:dyDescent="0.25">
      <c r="A14" s="133" t="s">
        <v>5</v>
      </c>
      <c r="B14" s="177">
        <v>26875</v>
      </c>
      <c r="C14" s="134">
        <v>-1648000</v>
      </c>
      <c r="D14" s="134">
        <v>0</v>
      </c>
      <c r="E14" s="134">
        <f t="shared" si="1"/>
        <v>0</v>
      </c>
      <c r="F14" s="134">
        <v>15958000</v>
      </c>
      <c r="G14" s="134">
        <f t="shared" si="1"/>
        <v>-5319000</v>
      </c>
      <c r="H14" s="135">
        <v>801.75</v>
      </c>
      <c r="I14" s="134">
        <v>-35000</v>
      </c>
      <c r="J14" s="134">
        <v>0</v>
      </c>
      <c r="K14" s="134">
        <f t="shared" si="2"/>
        <v>0</v>
      </c>
      <c r="L14" s="134">
        <v>525000</v>
      </c>
      <c r="M14" s="159">
        <f t="shared" si="3"/>
        <v>-175000</v>
      </c>
      <c r="N14" s="134">
        <f t="shared" si="4"/>
        <v>-1683000</v>
      </c>
      <c r="O14" s="134">
        <f t="shared" si="5"/>
        <v>0</v>
      </c>
      <c r="P14" s="134">
        <f t="shared" si="6"/>
        <v>0</v>
      </c>
      <c r="Q14" s="134">
        <f t="shared" si="7"/>
        <v>16483000</v>
      </c>
      <c r="R14" s="134">
        <f t="shared" si="8"/>
        <v>-5494000</v>
      </c>
      <c r="S14" s="318">
        <f t="shared" si="9"/>
        <v>14800000</v>
      </c>
      <c r="T14" s="134">
        <f t="shared" si="10"/>
        <v>-5494000</v>
      </c>
      <c r="U14" s="319">
        <f t="shared" si="11"/>
        <v>9306000</v>
      </c>
      <c r="V14" s="306"/>
    </row>
    <row r="15" spans="1:22" ht="12.75" customHeight="1" x14ac:dyDescent="0.25">
      <c r="A15" s="133" t="s">
        <v>6</v>
      </c>
      <c r="B15" s="177">
        <v>7000</v>
      </c>
      <c r="C15" s="134">
        <v>388000</v>
      </c>
      <c r="D15" s="134">
        <v>0</v>
      </c>
      <c r="E15" s="134">
        <f t="shared" si="1"/>
        <v>0</v>
      </c>
      <c r="F15" s="134">
        <v>3566000</v>
      </c>
      <c r="G15" s="134">
        <f t="shared" si="1"/>
        <v>-1189000</v>
      </c>
      <c r="H15" s="135">
        <v>215.683334</v>
      </c>
      <c r="I15" s="134">
        <v>-170000</v>
      </c>
      <c r="J15" s="134">
        <v>0</v>
      </c>
      <c r="K15" s="134">
        <f t="shared" si="2"/>
        <v>0</v>
      </c>
      <c r="L15" s="134">
        <v>115000</v>
      </c>
      <c r="M15" s="159">
        <f t="shared" si="3"/>
        <v>-38000</v>
      </c>
      <c r="N15" s="134">
        <f t="shared" si="4"/>
        <v>218000</v>
      </c>
      <c r="O15" s="134">
        <f t="shared" si="5"/>
        <v>0</v>
      </c>
      <c r="P15" s="134">
        <f t="shared" si="6"/>
        <v>0</v>
      </c>
      <c r="Q15" s="134">
        <f t="shared" si="7"/>
        <v>3681000</v>
      </c>
      <c r="R15" s="134">
        <f t="shared" si="8"/>
        <v>-1227000</v>
      </c>
      <c r="S15" s="318">
        <f t="shared" si="9"/>
        <v>3899000</v>
      </c>
      <c r="T15" s="134">
        <f t="shared" si="10"/>
        <v>-1227000</v>
      </c>
      <c r="U15" s="319">
        <f t="shared" si="11"/>
        <v>2672000</v>
      </c>
      <c r="V15" s="306"/>
    </row>
    <row r="16" spans="1:22" ht="12.75" customHeight="1" x14ac:dyDescent="0.25">
      <c r="A16" s="133" t="s">
        <v>7</v>
      </c>
      <c r="B16" s="177">
        <v>26875</v>
      </c>
      <c r="C16" s="134">
        <v>-819000</v>
      </c>
      <c r="D16" s="134">
        <v>0</v>
      </c>
      <c r="E16" s="134">
        <f t="shared" si="1"/>
        <v>0</v>
      </c>
      <c r="F16" s="134">
        <v>15583000</v>
      </c>
      <c r="G16" s="134">
        <f t="shared" si="1"/>
        <v>-5194000</v>
      </c>
      <c r="H16" s="135">
        <v>1045.075</v>
      </c>
      <c r="I16" s="134">
        <v>-65000</v>
      </c>
      <c r="J16" s="134">
        <v>0</v>
      </c>
      <c r="K16" s="134">
        <f t="shared" si="2"/>
        <v>0</v>
      </c>
      <c r="L16" s="134">
        <v>646000</v>
      </c>
      <c r="M16" s="159">
        <f t="shared" si="3"/>
        <v>-215000</v>
      </c>
      <c r="N16" s="134">
        <f t="shared" si="4"/>
        <v>-884000</v>
      </c>
      <c r="O16" s="134">
        <f t="shared" si="5"/>
        <v>0</v>
      </c>
      <c r="P16" s="134">
        <f t="shared" si="6"/>
        <v>0</v>
      </c>
      <c r="Q16" s="134">
        <f t="shared" si="7"/>
        <v>16229000</v>
      </c>
      <c r="R16" s="134">
        <f t="shared" si="8"/>
        <v>-5409000</v>
      </c>
      <c r="S16" s="318">
        <f t="shared" si="9"/>
        <v>15345000</v>
      </c>
      <c r="T16" s="134">
        <f t="shared" si="10"/>
        <v>-5409000</v>
      </c>
      <c r="U16" s="319">
        <f t="shared" si="11"/>
        <v>9936000</v>
      </c>
      <c r="V16" s="306"/>
    </row>
    <row r="17" spans="1:22" s="137" customFormat="1" ht="12.75" customHeight="1" x14ac:dyDescent="0.25">
      <c r="A17" s="281" t="s">
        <v>8</v>
      </c>
      <c r="B17" s="282">
        <v>16350</v>
      </c>
      <c r="C17" s="283">
        <v>-239000</v>
      </c>
      <c r="D17" s="283">
        <v>123000</v>
      </c>
      <c r="E17" s="283">
        <f t="shared" si="1"/>
        <v>-41000</v>
      </c>
      <c r="F17" s="283">
        <v>9702000</v>
      </c>
      <c r="G17" s="283">
        <f>-ROUND((F17/3)/1000,0)*1000</f>
        <v>-3234000</v>
      </c>
      <c r="H17" s="284">
        <v>540.18611099999998</v>
      </c>
      <c r="I17" s="283">
        <v>-1856000</v>
      </c>
      <c r="J17" s="283">
        <v>7000</v>
      </c>
      <c r="K17" s="283">
        <f t="shared" si="2"/>
        <v>-2000</v>
      </c>
      <c r="L17" s="283">
        <v>358000</v>
      </c>
      <c r="M17" s="285">
        <f>-ROUND(L17/3,-3)</f>
        <v>-119000</v>
      </c>
      <c r="N17" s="283">
        <f t="shared" si="4"/>
        <v>-2095000</v>
      </c>
      <c r="O17" s="283">
        <f t="shared" si="5"/>
        <v>130000</v>
      </c>
      <c r="P17" s="283">
        <f t="shared" si="6"/>
        <v>-43000</v>
      </c>
      <c r="Q17" s="283">
        <f t="shared" si="7"/>
        <v>10060000</v>
      </c>
      <c r="R17" s="283">
        <f t="shared" si="8"/>
        <v>-3353000</v>
      </c>
      <c r="S17" s="320">
        <f t="shared" si="9"/>
        <v>8095000</v>
      </c>
      <c r="T17" s="283">
        <f t="shared" si="10"/>
        <v>-3396000</v>
      </c>
      <c r="U17" s="321">
        <f t="shared" si="11"/>
        <v>4699000</v>
      </c>
      <c r="V17" s="310"/>
    </row>
    <row r="18" spans="1:22" s="137" customFormat="1" ht="12.75" customHeight="1" x14ac:dyDescent="0.25">
      <c r="A18" s="281" t="s">
        <v>9</v>
      </c>
      <c r="B18" s="282">
        <v>1025</v>
      </c>
      <c r="C18" s="283">
        <v>29000</v>
      </c>
      <c r="D18" s="283">
        <v>0</v>
      </c>
      <c r="E18" s="283">
        <f t="shared" si="1"/>
        <v>0</v>
      </c>
      <c r="F18" s="283">
        <v>385000</v>
      </c>
      <c r="G18" s="283">
        <f t="shared" si="1"/>
        <v>-128000</v>
      </c>
      <c r="H18" s="284">
        <v>27.866667</v>
      </c>
      <c r="I18" s="283">
        <v>-4000</v>
      </c>
      <c r="J18" s="283">
        <v>0</v>
      </c>
      <c r="K18" s="283">
        <f t="shared" si="2"/>
        <v>0</v>
      </c>
      <c r="L18" s="283">
        <v>11000</v>
      </c>
      <c r="M18" s="285">
        <f t="shared" si="3"/>
        <v>-4000</v>
      </c>
      <c r="N18" s="283">
        <f t="shared" si="4"/>
        <v>25000</v>
      </c>
      <c r="O18" s="283">
        <f t="shared" si="5"/>
        <v>0</v>
      </c>
      <c r="P18" s="283">
        <f t="shared" si="6"/>
        <v>0</v>
      </c>
      <c r="Q18" s="283">
        <f t="shared" si="7"/>
        <v>396000</v>
      </c>
      <c r="R18" s="283">
        <f t="shared" si="8"/>
        <v>-132000</v>
      </c>
      <c r="S18" s="320">
        <f t="shared" si="9"/>
        <v>421000</v>
      </c>
      <c r="T18" s="283">
        <f t="shared" si="10"/>
        <v>-132000</v>
      </c>
      <c r="U18" s="321">
        <f t="shared" si="11"/>
        <v>289000</v>
      </c>
      <c r="V18" s="310"/>
    </row>
    <row r="19" spans="1:22" s="137" customFormat="1" ht="12.75" customHeight="1" x14ac:dyDescent="0.25">
      <c r="A19" s="281" t="s">
        <v>10</v>
      </c>
      <c r="B19" s="282">
        <v>4500</v>
      </c>
      <c r="C19" s="283">
        <v>-620000</v>
      </c>
      <c r="D19" s="283">
        <v>0</v>
      </c>
      <c r="E19" s="283">
        <f t="shared" si="1"/>
        <v>0</v>
      </c>
      <c r="F19" s="283">
        <v>2176000</v>
      </c>
      <c r="G19" s="283">
        <f t="shared" si="1"/>
        <v>-725000</v>
      </c>
      <c r="H19" s="284">
        <v>71.674999999999997</v>
      </c>
      <c r="I19" s="283">
        <v>-78000</v>
      </c>
      <c r="J19" s="283">
        <v>0</v>
      </c>
      <c r="K19" s="283">
        <f t="shared" si="2"/>
        <v>0</v>
      </c>
      <c r="L19" s="283">
        <v>36000</v>
      </c>
      <c r="M19" s="285">
        <f t="shared" si="3"/>
        <v>-12000</v>
      </c>
      <c r="N19" s="283">
        <f t="shared" si="4"/>
        <v>-698000</v>
      </c>
      <c r="O19" s="283">
        <f t="shared" si="5"/>
        <v>0</v>
      </c>
      <c r="P19" s="283">
        <f t="shared" si="6"/>
        <v>0</v>
      </c>
      <c r="Q19" s="283">
        <f t="shared" si="7"/>
        <v>2212000</v>
      </c>
      <c r="R19" s="283">
        <f t="shared" si="8"/>
        <v>-737000</v>
      </c>
      <c r="S19" s="320">
        <f t="shared" si="9"/>
        <v>1514000</v>
      </c>
      <c r="T19" s="283">
        <f t="shared" si="10"/>
        <v>-737000</v>
      </c>
      <c r="U19" s="321">
        <f t="shared" si="11"/>
        <v>777000</v>
      </c>
      <c r="V19" s="310"/>
    </row>
    <row r="20" spans="1:22" s="137" customFormat="1" ht="12.75" customHeight="1" x14ac:dyDescent="0.25">
      <c r="A20" s="281" t="s">
        <v>11</v>
      </c>
      <c r="B20" s="282">
        <v>25270</v>
      </c>
      <c r="C20" s="283">
        <v>-856000</v>
      </c>
      <c r="D20" s="283">
        <v>0</v>
      </c>
      <c r="E20" s="283">
        <f t="shared" si="1"/>
        <v>0</v>
      </c>
      <c r="F20" s="283">
        <v>15116000</v>
      </c>
      <c r="G20" s="283">
        <f t="shared" si="1"/>
        <v>-5039000</v>
      </c>
      <c r="H20" s="284">
        <v>1482.1</v>
      </c>
      <c r="I20" s="283">
        <v>252000</v>
      </c>
      <c r="J20" s="283">
        <v>0</v>
      </c>
      <c r="K20" s="283">
        <f t="shared" si="2"/>
        <v>0</v>
      </c>
      <c r="L20" s="283">
        <v>934000</v>
      </c>
      <c r="M20" s="285">
        <f t="shared" si="3"/>
        <v>-311000</v>
      </c>
      <c r="N20" s="283">
        <f t="shared" si="4"/>
        <v>-604000</v>
      </c>
      <c r="O20" s="283">
        <f t="shared" si="5"/>
        <v>0</v>
      </c>
      <c r="P20" s="283">
        <f t="shared" si="6"/>
        <v>0</v>
      </c>
      <c r="Q20" s="283">
        <f t="shared" si="7"/>
        <v>16050000</v>
      </c>
      <c r="R20" s="283">
        <f t="shared" si="8"/>
        <v>-5350000</v>
      </c>
      <c r="S20" s="320">
        <f t="shared" si="9"/>
        <v>15446000</v>
      </c>
      <c r="T20" s="283">
        <f t="shared" si="10"/>
        <v>-5350000</v>
      </c>
      <c r="U20" s="321">
        <f t="shared" si="11"/>
        <v>10096000</v>
      </c>
      <c r="V20" s="310"/>
    </row>
    <row r="21" spans="1:22" s="137" customFormat="1" ht="12.75" customHeight="1" x14ac:dyDescent="0.25">
      <c r="A21" s="281" t="s">
        <v>12</v>
      </c>
      <c r="B21" s="282">
        <v>17150</v>
      </c>
      <c r="C21" s="283">
        <v>-3365000</v>
      </c>
      <c r="D21" s="283">
        <v>0</v>
      </c>
      <c r="E21" s="283">
        <f t="shared" si="1"/>
        <v>0</v>
      </c>
      <c r="F21" s="283">
        <v>9586000</v>
      </c>
      <c r="G21" s="283">
        <f t="shared" si="1"/>
        <v>-3195000</v>
      </c>
      <c r="H21" s="284">
        <v>520.35555499999998</v>
      </c>
      <c r="I21" s="283">
        <v>-501000</v>
      </c>
      <c r="J21" s="283">
        <v>0</v>
      </c>
      <c r="K21" s="283">
        <f t="shared" si="2"/>
        <v>0</v>
      </c>
      <c r="L21" s="283">
        <v>315000</v>
      </c>
      <c r="M21" s="285">
        <f t="shared" si="3"/>
        <v>-105000</v>
      </c>
      <c r="N21" s="283">
        <f t="shared" si="4"/>
        <v>-3866000</v>
      </c>
      <c r="O21" s="283">
        <f t="shared" si="5"/>
        <v>0</v>
      </c>
      <c r="P21" s="283">
        <f t="shared" si="6"/>
        <v>0</v>
      </c>
      <c r="Q21" s="283">
        <f t="shared" si="7"/>
        <v>9901000</v>
      </c>
      <c r="R21" s="283">
        <f t="shared" si="8"/>
        <v>-3300000</v>
      </c>
      <c r="S21" s="320">
        <f t="shared" si="9"/>
        <v>6035000</v>
      </c>
      <c r="T21" s="283">
        <f t="shared" si="10"/>
        <v>-3300000</v>
      </c>
      <c r="U21" s="321">
        <f t="shared" si="11"/>
        <v>2735000</v>
      </c>
      <c r="V21" s="310"/>
    </row>
    <row r="22" spans="1:22" s="137" customFormat="1" ht="12.75" customHeight="1" x14ac:dyDescent="0.25">
      <c r="A22" s="281" t="s">
        <v>13</v>
      </c>
      <c r="B22" s="282">
        <v>21625</v>
      </c>
      <c r="C22" s="283">
        <v>2753000</v>
      </c>
      <c r="D22" s="283">
        <v>0</v>
      </c>
      <c r="E22" s="283">
        <f t="shared" si="1"/>
        <v>0</v>
      </c>
      <c r="F22" s="283">
        <v>12369000</v>
      </c>
      <c r="G22" s="283">
        <f t="shared" si="1"/>
        <v>-4123000</v>
      </c>
      <c r="H22" s="284">
        <v>343.09166599999998</v>
      </c>
      <c r="I22" s="283">
        <v>-892000</v>
      </c>
      <c r="J22" s="283">
        <v>0</v>
      </c>
      <c r="K22" s="283">
        <f t="shared" si="2"/>
        <v>0</v>
      </c>
      <c r="L22" s="283">
        <v>244000</v>
      </c>
      <c r="M22" s="285">
        <f t="shared" si="3"/>
        <v>-81000</v>
      </c>
      <c r="N22" s="283">
        <f t="shared" si="4"/>
        <v>1861000</v>
      </c>
      <c r="O22" s="283">
        <f t="shared" si="5"/>
        <v>0</v>
      </c>
      <c r="P22" s="283">
        <f t="shared" si="6"/>
        <v>0</v>
      </c>
      <c r="Q22" s="283">
        <f t="shared" si="7"/>
        <v>12613000</v>
      </c>
      <c r="R22" s="283">
        <f t="shared" si="8"/>
        <v>-4204000</v>
      </c>
      <c r="S22" s="320">
        <f t="shared" si="9"/>
        <v>14474000</v>
      </c>
      <c r="T22" s="283">
        <f t="shared" si="10"/>
        <v>-4204000</v>
      </c>
      <c r="U22" s="321">
        <f t="shared" si="11"/>
        <v>10270000</v>
      </c>
      <c r="V22" s="310"/>
    </row>
    <row r="23" spans="1:22" s="137" customFormat="1" ht="12.75" customHeight="1" x14ac:dyDescent="0.25">
      <c r="A23" s="281" t="s">
        <v>14</v>
      </c>
      <c r="B23" s="282">
        <v>13850</v>
      </c>
      <c r="C23" s="283">
        <v>-1604000</v>
      </c>
      <c r="D23" s="283">
        <v>0</v>
      </c>
      <c r="E23" s="283">
        <f t="shared" si="1"/>
        <v>0</v>
      </c>
      <c r="F23" s="283">
        <v>7819000</v>
      </c>
      <c r="G23" s="283">
        <f t="shared" si="1"/>
        <v>-2606000</v>
      </c>
      <c r="H23" s="284">
        <v>533.82777799999997</v>
      </c>
      <c r="I23" s="283">
        <v>139000</v>
      </c>
      <c r="J23" s="283">
        <v>0</v>
      </c>
      <c r="K23" s="283">
        <f t="shared" si="2"/>
        <v>0</v>
      </c>
      <c r="L23" s="283">
        <v>304000</v>
      </c>
      <c r="M23" s="285">
        <f t="shared" si="3"/>
        <v>-101000</v>
      </c>
      <c r="N23" s="283">
        <f t="shared" si="4"/>
        <v>-1465000</v>
      </c>
      <c r="O23" s="283">
        <f t="shared" si="5"/>
        <v>0</v>
      </c>
      <c r="P23" s="283">
        <f t="shared" si="6"/>
        <v>0</v>
      </c>
      <c r="Q23" s="283">
        <f t="shared" si="7"/>
        <v>8123000</v>
      </c>
      <c r="R23" s="283">
        <f t="shared" si="8"/>
        <v>-2707000</v>
      </c>
      <c r="S23" s="320">
        <f t="shared" si="9"/>
        <v>6658000</v>
      </c>
      <c r="T23" s="283">
        <f t="shared" si="10"/>
        <v>-2707000</v>
      </c>
      <c r="U23" s="321">
        <f t="shared" si="11"/>
        <v>3951000</v>
      </c>
      <c r="V23" s="310"/>
    </row>
    <row r="24" spans="1:22" s="137" customFormat="1" ht="12.75" customHeight="1" x14ac:dyDescent="0.25">
      <c r="A24" s="281" t="s">
        <v>15</v>
      </c>
      <c r="B24" s="282">
        <v>25914</v>
      </c>
      <c r="C24" s="283">
        <v>-1358000</v>
      </c>
      <c r="D24" s="283">
        <v>2238000</v>
      </c>
      <c r="E24" s="283">
        <f t="shared" si="1"/>
        <v>-746000</v>
      </c>
      <c r="F24" s="283">
        <v>13144000</v>
      </c>
      <c r="G24" s="283">
        <f t="shared" si="1"/>
        <v>-4381000</v>
      </c>
      <c r="H24" s="284">
        <v>1651.8333339999999</v>
      </c>
      <c r="I24" s="283">
        <v>-793000</v>
      </c>
      <c r="J24" s="283">
        <v>182000</v>
      </c>
      <c r="K24" s="283">
        <f t="shared" si="2"/>
        <v>-61000</v>
      </c>
      <c r="L24" s="283">
        <v>927000</v>
      </c>
      <c r="M24" s="285">
        <f t="shared" si="3"/>
        <v>-309000</v>
      </c>
      <c r="N24" s="283">
        <f t="shared" si="4"/>
        <v>-2151000</v>
      </c>
      <c r="O24" s="283">
        <f t="shared" si="5"/>
        <v>2420000</v>
      </c>
      <c r="P24" s="283">
        <f t="shared" si="6"/>
        <v>-807000</v>
      </c>
      <c r="Q24" s="283">
        <f t="shared" si="7"/>
        <v>14071000</v>
      </c>
      <c r="R24" s="283">
        <f t="shared" si="8"/>
        <v>-4690000</v>
      </c>
      <c r="S24" s="320">
        <f t="shared" si="9"/>
        <v>14340000</v>
      </c>
      <c r="T24" s="283">
        <f t="shared" si="10"/>
        <v>-5497000</v>
      </c>
      <c r="U24" s="321">
        <f t="shared" si="11"/>
        <v>8843000</v>
      </c>
      <c r="V24" s="310"/>
    </row>
    <row r="25" spans="1:22" s="137" customFormat="1" ht="12.75" customHeight="1" x14ac:dyDescent="0.25">
      <c r="A25" s="281" t="s">
        <v>16</v>
      </c>
      <c r="B25" s="282">
        <v>22800</v>
      </c>
      <c r="C25" s="283">
        <v>-2663000</v>
      </c>
      <c r="D25" s="283">
        <v>0</v>
      </c>
      <c r="E25" s="283">
        <f t="shared" si="1"/>
        <v>0</v>
      </c>
      <c r="F25" s="283">
        <v>12726000</v>
      </c>
      <c r="G25" s="283">
        <f t="shared" si="1"/>
        <v>-4242000</v>
      </c>
      <c r="H25" s="284">
        <v>1573.833333</v>
      </c>
      <c r="I25" s="283">
        <v>-515000</v>
      </c>
      <c r="J25" s="283">
        <v>0</v>
      </c>
      <c r="K25" s="283">
        <f t="shared" si="2"/>
        <v>0</v>
      </c>
      <c r="L25" s="283">
        <v>948000</v>
      </c>
      <c r="M25" s="285">
        <f>-ROUND(L25/3,-3)</f>
        <v>-316000</v>
      </c>
      <c r="N25" s="283">
        <f t="shared" si="4"/>
        <v>-3178000</v>
      </c>
      <c r="O25" s="283">
        <f t="shared" si="5"/>
        <v>0</v>
      </c>
      <c r="P25" s="283">
        <f t="shared" si="6"/>
        <v>0</v>
      </c>
      <c r="Q25" s="283">
        <f t="shared" si="7"/>
        <v>13674000</v>
      </c>
      <c r="R25" s="283">
        <f t="shared" si="8"/>
        <v>-4558000</v>
      </c>
      <c r="S25" s="320">
        <f t="shared" si="9"/>
        <v>10496000</v>
      </c>
      <c r="T25" s="283">
        <f t="shared" si="10"/>
        <v>-4558000</v>
      </c>
      <c r="U25" s="321">
        <f t="shared" si="11"/>
        <v>5938000</v>
      </c>
      <c r="V25" s="310"/>
    </row>
    <row r="26" spans="1:22" s="137" customFormat="1" ht="12.75" customHeight="1" x14ac:dyDescent="0.25">
      <c r="A26" s="281" t="s">
        <v>17</v>
      </c>
      <c r="B26" s="282">
        <v>21045</v>
      </c>
      <c r="C26" s="283">
        <v>-2285000</v>
      </c>
      <c r="D26" s="283">
        <v>0</v>
      </c>
      <c r="E26" s="283">
        <f t="shared" si="1"/>
        <v>0</v>
      </c>
      <c r="F26" s="283">
        <v>12529000</v>
      </c>
      <c r="G26" s="283">
        <f t="shared" si="1"/>
        <v>-4176000</v>
      </c>
      <c r="H26" s="284">
        <v>1230.8291670000001</v>
      </c>
      <c r="I26" s="283">
        <v>-1487000</v>
      </c>
      <c r="J26" s="283">
        <v>0</v>
      </c>
      <c r="K26" s="283">
        <f t="shared" si="2"/>
        <v>0</v>
      </c>
      <c r="L26" s="283">
        <v>875000</v>
      </c>
      <c r="M26" s="285">
        <f>-ROUND(L26/3,-3)</f>
        <v>-292000</v>
      </c>
      <c r="N26" s="283">
        <f t="shared" si="4"/>
        <v>-3772000</v>
      </c>
      <c r="O26" s="283">
        <f t="shared" si="5"/>
        <v>0</v>
      </c>
      <c r="P26" s="283">
        <f t="shared" si="6"/>
        <v>0</v>
      </c>
      <c r="Q26" s="283">
        <f t="shared" si="7"/>
        <v>13404000</v>
      </c>
      <c r="R26" s="283">
        <f t="shared" si="8"/>
        <v>-4468000</v>
      </c>
      <c r="S26" s="320">
        <f t="shared" si="9"/>
        <v>9632000</v>
      </c>
      <c r="T26" s="283">
        <f t="shared" si="10"/>
        <v>-4468000</v>
      </c>
      <c r="U26" s="321">
        <f t="shared" si="11"/>
        <v>5164000</v>
      </c>
      <c r="V26" s="310"/>
    </row>
    <row r="27" spans="1:22" s="137" customFormat="1" ht="12.75" customHeight="1" x14ac:dyDescent="0.25">
      <c r="A27" s="281" t="s">
        <v>18</v>
      </c>
      <c r="B27" s="282">
        <v>16000</v>
      </c>
      <c r="C27" s="283">
        <v>159000</v>
      </c>
      <c r="D27" s="283">
        <v>0</v>
      </c>
      <c r="E27" s="283">
        <f t="shared" si="1"/>
        <v>0</v>
      </c>
      <c r="F27" s="283">
        <v>8135000</v>
      </c>
      <c r="G27" s="283">
        <f>-ROUND((F27/3)/1000,0)*1000</f>
        <v>-2712000</v>
      </c>
      <c r="H27" s="284">
        <v>1034.5555549999999</v>
      </c>
      <c r="I27" s="283">
        <v>1391000</v>
      </c>
      <c r="J27" s="283">
        <v>0</v>
      </c>
      <c r="K27" s="283">
        <f t="shared" si="2"/>
        <v>0</v>
      </c>
      <c r="L27" s="283">
        <v>538000</v>
      </c>
      <c r="M27" s="285">
        <f t="shared" si="3"/>
        <v>-179000</v>
      </c>
      <c r="N27" s="283">
        <f t="shared" si="4"/>
        <v>1550000</v>
      </c>
      <c r="O27" s="283">
        <f t="shared" si="5"/>
        <v>0</v>
      </c>
      <c r="P27" s="283">
        <f t="shared" si="6"/>
        <v>0</v>
      </c>
      <c r="Q27" s="283">
        <f t="shared" si="7"/>
        <v>8673000</v>
      </c>
      <c r="R27" s="283">
        <f t="shared" si="8"/>
        <v>-2891000</v>
      </c>
      <c r="S27" s="320">
        <f t="shared" si="9"/>
        <v>10223000</v>
      </c>
      <c r="T27" s="283">
        <f t="shared" si="10"/>
        <v>-2891000</v>
      </c>
      <c r="U27" s="321">
        <f t="shared" si="11"/>
        <v>7332000</v>
      </c>
      <c r="V27" s="310"/>
    </row>
    <row r="28" spans="1:22" s="137" customFormat="1" ht="12.75" customHeight="1" x14ac:dyDescent="0.25">
      <c r="A28" s="281" t="s">
        <v>19</v>
      </c>
      <c r="B28" s="282">
        <v>7400</v>
      </c>
      <c r="C28" s="283">
        <v>-710000</v>
      </c>
      <c r="D28" s="283">
        <v>0</v>
      </c>
      <c r="E28" s="283">
        <f t="shared" si="1"/>
        <v>0</v>
      </c>
      <c r="F28" s="283">
        <v>4385000</v>
      </c>
      <c r="G28" s="283">
        <f t="shared" si="1"/>
        <v>-1462000</v>
      </c>
      <c r="H28" s="284">
        <v>127.36666700000001</v>
      </c>
      <c r="I28" s="283">
        <v>124000</v>
      </c>
      <c r="J28" s="283">
        <v>0</v>
      </c>
      <c r="K28" s="283">
        <f t="shared" si="2"/>
        <v>0</v>
      </c>
      <c r="L28" s="283">
        <v>77000</v>
      </c>
      <c r="M28" s="285">
        <f t="shared" si="3"/>
        <v>-26000</v>
      </c>
      <c r="N28" s="283">
        <f t="shared" si="4"/>
        <v>-586000</v>
      </c>
      <c r="O28" s="283">
        <f t="shared" si="5"/>
        <v>0</v>
      </c>
      <c r="P28" s="283">
        <f t="shared" si="6"/>
        <v>0</v>
      </c>
      <c r="Q28" s="283">
        <f t="shared" si="7"/>
        <v>4462000</v>
      </c>
      <c r="R28" s="283">
        <f t="shared" si="8"/>
        <v>-1488000</v>
      </c>
      <c r="S28" s="320">
        <f t="shared" si="9"/>
        <v>3876000</v>
      </c>
      <c r="T28" s="283">
        <f t="shared" si="10"/>
        <v>-1488000</v>
      </c>
      <c r="U28" s="321">
        <f t="shared" si="11"/>
        <v>2388000</v>
      </c>
      <c r="V28" s="310"/>
    </row>
    <row r="29" spans="1:22" s="137" customFormat="1" ht="12.75" customHeight="1" x14ac:dyDescent="0.25">
      <c r="A29" s="281" t="s">
        <v>20</v>
      </c>
      <c r="B29" s="282">
        <v>7450</v>
      </c>
      <c r="C29" s="283">
        <v>-890000</v>
      </c>
      <c r="D29" s="283">
        <v>0</v>
      </c>
      <c r="E29" s="283">
        <f t="shared" si="1"/>
        <v>0</v>
      </c>
      <c r="F29" s="283">
        <v>3929000</v>
      </c>
      <c r="G29" s="283">
        <f t="shared" si="1"/>
        <v>-1310000</v>
      </c>
      <c r="H29" s="284">
        <v>72.766666999999998</v>
      </c>
      <c r="I29" s="283">
        <v>-63000</v>
      </c>
      <c r="J29" s="283">
        <v>0</v>
      </c>
      <c r="K29" s="283">
        <f t="shared" si="2"/>
        <v>0</v>
      </c>
      <c r="L29" s="283">
        <v>41000</v>
      </c>
      <c r="M29" s="285">
        <f t="shared" si="3"/>
        <v>-14000</v>
      </c>
      <c r="N29" s="283">
        <f t="shared" si="4"/>
        <v>-953000</v>
      </c>
      <c r="O29" s="283">
        <f t="shared" si="5"/>
        <v>0</v>
      </c>
      <c r="P29" s="283">
        <f t="shared" si="6"/>
        <v>0</v>
      </c>
      <c r="Q29" s="283">
        <f t="shared" si="7"/>
        <v>3970000</v>
      </c>
      <c r="R29" s="283">
        <f t="shared" si="8"/>
        <v>-1324000</v>
      </c>
      <c r="S29" s="320">
        <f t="shared" si="9"/>
        <v>3017000</v>
      </c>
      <c r="T29" s="283">
        <f t="shared" si="10"/>
        <v>-1324000</v>
      </c>
      <c r="U29" s="321">
        <f t="shared" si="11"/>
        <v>1693000</v>
      </c>
      <c r="V29" s="310"/>
    </row>
    <row r="30" spans="1:22" s="137" customFormat="1" ht="12.75" customHeight="1" x14ac:dyDescent="0.25">
      <c r="A30" s="281" t="s">
        <v>21</v>
      </c>
      <c r="B30" s="282">
        <v>6715</v>
      </c>
      <c r="C30" s="283">
        <v>5112000</v>
      </c>
      <c r="D30" s="283">
        <v>0</v>
      </c>
      <c r="E30" s="283">
        <f t="shared" si="1"/>
        <v>0</v>
      </c>
      <c r="F30" s="283">
        <v>3951000</v>
      </c>
      <c r="G30" s="283">
        <f t="shared" si="1"/>
        <v>-1317000</v>
      </c>
      <c r="H30" s="284">
        <v>122.266667</v>
      </c>
      <c r="I30" s="283">
        <v>137000</v>
      </c>
      <c r="J30" s="283">
        <v>0</v>
      </c>
      <c r="K30" s="283">
        <f t="shared" si="2"/>
        <v>0</v>
      </c>
      <c r="L30" s="283">
        <v>72000</v>
      </c>
      <c r="M30" s="285">
        <f t="shared" si="3"/>
        <v>-24000</v>
      </c>
      <c r="N30" s="283">
        <f t="shared" si="4"/>
        <v>5249000</v>
      </c>
      <c r="O30" s="283">
        <f t="shared" si="5"/>
        <v>0</v>
      </c>
      <c r="P30" s="283">
        <f t="shared" si="6"/>
        <v>0</v>
      </c>
      <c r="Q30" s="283">
        <f t="shared" si="7"/>
        <v>4023000</v>
      </c>
      <c r="R30" s="283">
        <f t="shared" si="8"/>
        <v>-1341000</v>
      </c>
      <c r="S30" s="320">
        <f t="shared" si="9"/>
        <v>9272000</v>
      </c>
      <c r="T30" s="283">
        <f t="shared" si="10"/>
        <v>-1341000</v>
      </c>
      <c r="U30" s="321">
        <f t="shared" si="11"/>
        <v>7931000</v>
      </c>
      <c r="V30" s="310"/>
    </row>
    <row r="31" spans="1:22" s="137" customFormat="1" ht="6" customHeight="1" x14ac:dyDescent="0.25">
      <c r="A31" s="281"/>
      <c r="B31" s="283"/>
      <c r="C31" s="283"/>
      <c r="D31" s="283"/>
      <c r="E31" s="283"/>
      <c r="F31" s="283"/>
      <c r="G31" s="283"/>
      <c r="H31" s="284"/>
      <c r="I31" s="283"/>
      <c r="J31" s="283"/>
      <c r="K31" s="283"/>
      <c r="L31" s="283"/>
      <c r="M31" s="285"/>
      <c r="N31" s="283"/>
      <c r="O31" s="283"/>
      <c r="P31" s="283"/>
      <c r="Q31" s="283"/>
      <c r="R31" s="283"/>
      <c r="S31" s="320"/>
      <c r="T31" s="283"/>
      <c r="U31" s="322"/>
      <c r="V31" s="310"/>
    </row>
    <row r="32" spans="1:22" s="137" customFormat="1" ht="13.2" x14ac:dyDescent="0.25">
      <c r="A32" s="286" t="s">
        <v>22</v>
      </c>
      <c r="B32" s="287">
        <f>SUM(B8:B30)</f>
        <v>330440</v>
      </c>
      <c r="C32" s="288">
        <f>SUM(C8:C30)</f>
        <v>-11089000</v>
      </c>
      <c r="D32" s="288">
        <f>SUM(D8:D30)</f>
        <v>2903000</v>
      </c>
      <c r="E32" s="288">
        <f>SUM(E8:E30)</f>
        <v>-967000</v>
      </c>
      <c r="F32" s="288">
        <f>SUM(F8:F30)</f>
        <v>185271000</v>
      </c>
      <c r="G32" s="288">
        <f t="shared" ref="G32:U32" si="12">SUM(G8:G30)</f>
        <v>-61756000</v>
      </c>
      <c r="H32" s="289">
        <f t="shared" si="12"/>
        <v>13561.445834</v>
      </c>
      <c r="I32" s="288">
        <f t="shared" ref="I32" si="13">SUM(I8:I30)</f>
        <v>-5345000</v>
      </c>
      <c r="J32" s="288">
        <f t="shared" si="12"/>
        <v>194000</v>
      </c>
      <c r="K32" s="288">
        <f>SUM(K8:K30)</f>
        <v>-65000</v>
      </c>
      <c r="L32" s="288">
        <f t="shared" si="12"/>
        <v>8203000</v>
      </c>
      <c r="M32" s="290">
        <f t="shared" si="12"/>
        <v>-2733000</v>
      </c>
      <c r="N32" s="288">
        <f t="shared" si="12"/>
        <v>-16434000</v>
      </c>
      <c r="O32" s="288">
        <f t="shared" si="12"/>
        <v>3097000</v>
      </c>
      <c r="P32" s="288">
        <f t="shared" si="12"/>
        <v>-1032000</v>
      </c>
      <c r="Q32" s="288">
        <f>SUM(Q8:Q30)</f>
        <v>193474000</v>
      </c>
      <c r="R32" s="288">
        <f t="shared" si="12"/>
        <v>-64490000</v>
      </c>
      <c r="S32" s="323">
        <f t="shared" si="12"/>
        <v>180137000</v>
      </c>
      <c r="T32" s="288">
        <f t="shared" si="12"/>
        <v>-65522000</v>
      </c>
      <c r="U32" s="324">
        <f t="shared" si="12"/>
        <v>114615000</v>
      </c>
      <c r="V32" s="310"/>
    </row>
    <row r="33" spans="1:22" s="137" customFormat="1" ht="6" customHeight="1" x14ac:dyDescent="0.25">
      <c r="A33" s="291"/>
      <c r="B33" s="283"/>
      <c r="C33" s="292"/>
      <c r="D33" s="292"/>
      <c r="E33" s="292"/>
      <c r="F33" s="292"/>
      <c r="G33" s="292"/>
      <c r="H33" s="284"/>
      <c r="I33" s="292"/>
      <c r="J33" s="292"/>
      <c r="K33" s="292"/>
      <c r="L33" s="292"/>
      <c r="M33" s="293"/>
      <c r="N33" s="292"/>
      <c r="O33" s="292"/>
      <c r="P33" s="292"/>
      <c r="Q33" s="292"/>
      <c r="R33" s="292"/>
      <c r="S33" s="325"/>
      <c r="T33" s="292"/>
      <c r="U33" s="322"/>
      <c r="V33" s="310"/>
    </row>
    <row r="34" spans="1:22" s="137" customFormat="1" ht="13.2" x14ac:dyDescent="0.25">
      <c r="A34" s="294" t="s">
        <v>23</v>
      </c>
      <c r="B34" s="283">
        <v>0</v>
      </c>
      <c r="C34" s="283">
        <v>0</v>
      </c>
      <c r="D34" s="283">
        <v>0</v>
      </c>
      <c r="E34" s="283">
        <f t="shared" ref="E34:E38" si="14">-ROUND((D34/3)/1000,0)*1000</f>
        <v>0</v>
      </c>
      <c r="F34" s="283">
        <v>0</v>
      </c>
      <c r="G34" s="283">
        <f t="shared" ref="G34:G38" si="15">-ROUND((F34/3)/1000,0)*1000</f>
        <v>0</v>
      </c>
      <c r="H34" s="284">
        <v>0</v>
      </c>
      <c r="I34" s="283">
        <v>0</v>
      </c>
      <c r="J34" s="283">
        <v>0</v>
      </c>
      <c r="K34" s="283">
        <f t="shared" ref="K34:K38" si="16">-ROUND((J34/3)/1000,0)*1000</f>
        <v>0</v>
      </c>
      <c r="L34" s="283">
        <v>0</v>
      </c>
      <c r="M34" s="285">
        <f t="shared" ref="M34:M38" si="17">-ROUND(L34/3,-3)</f>
        <v>0</v>
      </c>
      <c r="N34" s="283">
        <f>C34+I34</f>
        <v>0</v>
      </c>
      <c r="O34" s="283">
        <f>D34+J34</f>
        <v>0</v>
      </c>
      <c r="P34" s="283">
        <f t="shared" ref="P34:R38" si="18">E34+K34</f>
        <v>0</v>
      </c>
      <c r="Q34" s="283">
        <f t="shared" si="18"/>
        <v>0</v>
      </c>
      <c r="R34" s="283">
        <f t="shared" si="18"/>
        <v>0</v>
      </c>
      <c r="S34" s="320">
        <f t="shared" ref="S34" si="19">N34+O34+Q34</f>
        <v>0</v>
      </c>
      <c r="T34" s="283">
        <f t="shared" ref="T34" si="20">P34+R34</f>
        <v>0</v>
      </c>
      <c r="U34" s="321">
        <f t="shared" ref="U34" si="21">S34+T34</f>
        <v>0</v>
      </c>
      <c r="V34" s="310"/>
    </row>
    <row r="35" spans="1:22" s="137" customFormat="1" ht="13.2" x14ac:dyDescent="0.25">
      <c r="A35" s="281" t="s">
        <v>29</v>
      </c>
      <c r="B35" s="283">
        <v>600</v>
      </c>
      <c r="C35" s="283">
        <v>27000</v>
      </c>
      <c r="D35" s="283">
        <v>290000</v>
      </c>
      <c r="E35" s="283">
        <f>-ROUND((D35/3)/1000,0)*1000</f>
        <v>-97000</v>
      </c>
      <c r="F35" s="283">
        <v>380000</v>
      </c>
      <c r="G35" s="283">
        <f>-ROUND((F35/3)/1000,0)*1000</f>
        <v>-127000</v>
      </c>
      <c r="H35" s="284">
        <v>0</v>
      </c>
      <c r="I35" s="283">
        <v>0</v>
      </c>
      <c r="J35" s="283">
        <v>0</v>
      </c>
      <c r="K35" s="283">
        <f>-ROUND((J35/3)/1000,0)*1000</f>
        <v>0</v>
      </c>
      <c r="L35" s="283">
        <v>0</v>
      </c>
      <c r="M35" s="285">
        <f>-ROUND(L35/3,-3)</f>
        <v>0</v>
      </c>
      <c r="N35" s="283">
        <f>C35+I35</f>
        <v>27000</v>
      </c>
      <c r="O35" s="283">
        <f>D35+J35</f>
        <v>290000</v>
      </c>
      <c r="P35" s="283">
        <f>E35+K35</f>
        <v>-97000</v>
      </c>
      <c r="Q35" s="283">
        <f>F35+L35</f>
        <v>380000</v>
      </c>
      <c r="R35" s="283">
        <f>G35+M35</f>
        <v>-127000</v>
      </c>
      <c r="S35" s="320">
        <f>N35+O35+Q35</f>
        <v>697000</v>
      </c>
      <c r="T35" s="283">
        <f>P35+R35</f>
        <v>-224000</v>
      </c>
      <c r="U35" s="321">
        <f>S35+T35</f>
        <v>473000</v>
      </c>
      <c r="V35" s="310"/>
    </row>
    <row r="36" spans="1:22" s="137" customFormat="1" ht="13.2" x14ac:dyDescent="0.25">
      <c r="A36" s="281" t="s">
        <v>24</v>
      </c>
      <c r="B36" s="283">
        <v>625</v>
      </c>
      <c r="C36" s="283">
        <v>228000</v>
      </c>
      <c r="D36" s="283">
        <v>91000</v>
      </c>
      <c r="E36" s="283">
        <f t="shared" si="14"/>
        <v>-30000</v>
      </c>
      <c r="F36" s="283">
        <v>232000</v>
      </c>
      <c r="G36" s="283">
        <f t="shared" si="15"/>
        <v>-77000</v>
      </c>
      <c r="H36" s="284">
        <v>8.8000000000000007</v>
      </c>
      <c r="I36" s="283">
        <v>11000</v>
      </c>
      <c r="J36" s="283">
        <v>1000</v>
      </c>
      <c r="K36" s="283">
        <f t="shared" si="16"/>
        <v>0</v>
      </c>
      <c r="L36" s="283">
        <v>4000</v>
      </c>
      <c r="M36" s="285">
        <f t="shared" si="17"/>
        <v>-1000</v>
      </c>
      <c r="N36" s="283">
        <f t="shared" ref="N36:N38" si="22">C36+I36</f>
        <v>239000</v>
      </c>
      <c r="O36" s="283">
        <f t="shared" ref="O36:O38" si="23">D36+J36</f>
        <v>92000</v>
      </c>
      <c r="P36" s="283">
        <f t="shared" si="18"/>
        <v>-30000</v>
      </c>
      <c r="Q36" s="283">
        <f t="shared" si="18"/>
        <v>236000</v>
      </c>
      <c r="R36" s="283">
        <f t="shared" si="18"/>
        <v>-78000</v>
      </c>
      <c r="S36" s="320">
        <f t="shared" ref="S36:S38" si="24">N36+O36+Q36</f>
        <v>567000</v>
      </c>
      <c r="T36" s="283">
        <f t="shared" ref="T36:T38" si="25">P36+R36</f>
        <v>-108000</v>
      </c>
      <c r="U36" s="321">
        <f t="shared" ref="U36:U38" si="26">S36+T36</f>
        <v>459000</v>
      </c>
      <c r="V36" s="310"/>
    </row>
    <row r="37" spans="1:22" s="137" customFormat="1" ht="13.2" x14ac:dyDescent="0.25">
      <c r="A37" s="281" t="s">
        <v>25</v>
      </c>
      <c r="B37" s="283">
        <v>51</v>
      </c>
      <c r="C37" s="283">
        <v>4000</v>
      </c>
      <c r="D37" s="283">
        <v>130000</v>
      </c>
      <c r="E37" s="283">
        <f>-ROUND((D37/3)/1000,0)*1000</f>
        <v>-43000</v>
      </c>
      <c r="F37" s="283">
        <v>0</v>
      </c>
      <c r="G37" s="283">
        <f>-ROUND((F37/3)/1000,0)*1000</f>
        <v>0</v>
      </c>
      <c r="H37" s="284">
        <v>2.9666670000000002</v>
      </c>
      <c r="I37" s="283">
        <v>2000</v>
      </c>
      <c r="J37" s="283">
        <v>8000</v>
      </c>
      <c r="K37" s="283">
        <f>-ROUND((J37/3)/1000,0)*1000</f>
        <v>-3000</v>
      </c>
      <c r="L37" s="283">
        <v>0</v>
      </c>
      <c r="M37" s="285">
        <f>-ROUND(L37/3,-3)</f>
        <v>0</v>
      </c>
      <c r="N37" s="283">
        <f>C37+I37</f>
        <v>6000</v>
      </c>
      <c r="O37" s="283">
        <f>D37+J37</f>
        <v>138000</v>
      </c>
      <c r="P37" s="283">
        <f>E37+K37</f>
        <v>-46000</v>
      </c>
      <c r="Q37" s="283">
        <f>F37+L37</f>
        <v>0</v>
      </c>
      <c r="R37" s="283">
        <f>G37+M37</f>
        <v>0</v>
      </c>
      <c r="S37" s="320">
        <f>N37+O37+Q37</f>
        <v>144000</v>
      </c>
      <c r="T37" s="283">
        <f>P37+R37</f>
        <v>-46000</v>
      </c>
      <c r="U37" s="321">
        <f>S37+T37</f>
        <v>98000</v>
      </c>
      <c r="V37" s="310"/>
    </row>
    <row r="38" spans="1:22" s="137" customFormat="1" ht="16.5" customHeight="1" x14ac:dyDescent="0.25">
      <c r="A38" s="295" t="s">
        <v>26</v>
      </c>
      <c r="B38" s="283">
        <v>0</v>
      </c>
      <c r="C38" s="283">
        <v>0</v>
      </c>
      <c r="D38" s="283">
        <v>0</v>
      </c>
      <c r="E38" s="283">
        <f t="shared" si="14"/>
        <v>0</v>
      </c>
      <c r="F38" s="283">
        <v>0</v>
      </c>
      <c r="G38" s="283">
        <f t="shared" si="15"/>
        <v>0</v>
      </c>
      <c r="H38" s="284">
        <v>0</v>
      </c>
      <c r="I38" s="283">
        <v>0</v>
      </c>
      <c r="J38" s="283">
        <v>0</v>
      </c>
      <c r="K38" s="283">
        <f t="shared" si="16"/>
        <v>0</v>
      </c>
      <c r="L38" s="283">
        <v>0</v>
      </c>
      <c r="M38" s="285">
        <f t="shared" si="17"/>
        <v>0</v>
      </c>
      <c r="N38" s="283">
        <f t="shared" si="22"/>
        <v>0</v>
      </c>
      <c r="O38" s="283">
        <f t="shared" si="23"/>
        <v>0</v>
      </c>
      <c r="P38" s="283">
        <f t="shared" si="18"/>
        <v>0</v>
      </c>
      <c r="Q38" s="283">
        <f t="shared" si="18"/>
        <v>0</v>
      </c>
      <c r="R38" s="283">
        <f t="shared" si="18"/>
        <v>0</v>
      </c>
      <c r="S38" s="320">
        <f t="shared" si="24"/>
        <v>0</v>
      </c>
      <c r="T38" s="283">
        <f t="shared" si="25"/>
        <v>0</v>
      </c>
      <c r="U38" s="321">
        <f t="shared" si="26"/>
        <v>0</v>
      </c>
      <c r="V38" s="310"/>
    </row>
    <row r="39" spans="1:22" s="137" customFormat="1" ht="6" customHeight="1" x14ac:dyDescent="0.25">
      <c r="A39" s="295"/>
      <c r="B39" s="283"/>
      <c r="C39" s="283"/>
      <c r="D39" s="283"/>
      <c r="E39" s="283"/>
      <c r="F39" s="283"/>
      <c r="G39" s="296"/>
      <c r="H39" s="284"/>
      <c r="I39" s="283"/>
      <c r="J39" s="283"/>
      <c r="K39" s="283"/>
      <c r="L39" s="283"/>
      <c r="M39" s="285"/>
      <c r="N39" s="283"/>
      <c r="O39" s="283"/>
      <c r="P39" s="283"/>
      <c r="Q39" s="283"/>
      <c r="R39" s="283"/>
      <c r="S39" s="320"/>
      <c r="T39" s="283"/>
      <c r="U39" s="321"/>
      <c r="V39" s="310"/>
    </row>
    <row r="40" spans="1:22" s="137" customFormat="1" ht="6" customHeight="1" x14ac:dyDescent="0.25">
      <c r="A40" s="295"/>
      <c r="G40" s="285"/>
      <c r="M40" s="410"/>
      <c r="R40" s="322"/>
      <c r="V40" s="310"/>
    </row>
    <row r="41" spans="1:22" s="137" customFormat="1" ht="6" customHeight="1" x14ac:dyDescent="0.25">
      <c r="A41" s="295"/>
      <c r="B41" s="283"/>
      <c r="C41" s="283"/>
      <c r="D41" s="283"/>
      <c r="E41" s="283"/>
      <c r="F41" s="283"/>
      <c r="G41" s="296"/>
      <c r="H41" s="284"/>
      <c r="I41" s="283"/>
      <c r="J41" s="283"/>
      <c r="K41" s="283"/>
      <c r="L41" s="283"/>
      <c r="M41" s="285"/>
      <c r="N41" s="283"/>
      <c r="O41" s="283"/>
      <c r="P41" s="283"/>
      <c r="Q41" s="283"/>
      <c r="R41" s="283"/>
      <c r="S41" s="326"/>
      <c r="T41" s="297"/>
      <c r="U41" s="327"/>
      <c r="V41" s="310"/>
    </row>
    <row r="42" spans="1:22" s="137" customFormat="1" thickBot="1" x14ac:dyDescent="0.3">
      <c r="A42" s="298" t="s">
        <v>35</v>
      </c>
      <c r="B42" s="299">
        <f>SUM(B32:B38)</f>
        <v>331716</v>
      </c>
      <c r="C42" s="300">
        <f>SUM(C32:C38)</f>
        <v>-10830000</v>
      </c>
      <c r="D42" s="300">
        <f>SUM(D32:D38)</f>
        <v>3414000</v>
      </c>
      <c r="E42" s="300">
        <f>SUM(E32:E38)</f>
        <v>-1137000</v>
      </c>
      <c r="F42" s="300">
        <f>SUM(F32:F38)</f>
        <v>185883000</v>
      </c>
      <c r="G42" s="300">
        <f t="shared" ref="G42:Q42" si="27">SUM(G32:G38)</f>
        <v>-61960000</v>
      </c>
      <c r="H42" s="301">
        <f t="shared" si="27"/>
        <v>13573.212501</v>
      </c>
      <c r="I42" s="300">
        <f t="shared" ref="I42" si="28">SUM(I32:I38)</f>
        <v>-5332000</v>
      </c>
      <c r="J42" s="300">
        <f t="shared" si="27"/>
        <v>203000</v>
      </c>
      <c r="K42" s="300">
        <f>SUM(K32:K38)</f>
        <v>-68000</v>
      </c>
      <c r="L42" s="300">
        <f t="shared" si="27"/>
        <v>8207000</v>
      </c>
      <c r="M42" s="302">
        <f t="shared" si="27"/>
        <v>-2734000</v>
      </c>
      <c r="N42" s="300">
        <f t="shared" si="27"/>
        <v>-16162000</v>
      </c>
      <c r="O42" s="300">
        <f t="shared" si="27"/>
        <v>3617000</v>
      </c>
      <c r="P42" s="300">
        <f t="shared" si="27"/>
        <v>-1205000</v>
      </c>
      <c r="Q42" s="300">
        <f t="shared" si="27"/>
        <v>194090000</v>
      </c>
      <c r="R42" s="402">
        <f>SUM(R32:R38)</f>
        <v>-64695000</v>
      </c>
      <c r="S42" s="303">
        <f>SUM(S32:S38)</f>
        <v>181545000</v>
      </c>
      <c r="T42" s="303">
        <f>SUM(T32:T38)</f>
        <v>-65900000</v>
      </c>
      <c r="U42" s="402">
        <f>SUM(U32:U38)</f>
        <v>115645000</v>
      </c>
      <c r="V42" s="310"/>
    </row>
    <row r="43" spans="1:22" ht="6" customHeight="1" x14ac:dyDescent="0.25">
      <c r="P43" s="132"/>
    </row>
    <row r="44" spans="1:22" ht="16.5" customHeight="1" x14ac:dyDescent="0.25">
      <c r="B44" s="136" t="s">
        <v>107</v>
      </c>
      <c r="C44" s="136"/>
      <c r="D44" s="137"/>
      <c r="E44" s="137"/>
      <c r="G44" s="140"/>
      <c r="H44" s="137"/>
      <c r="I44" s="137"/>
      <c r="K44" s="138"/>
      <c r="L44" s="137"/>
      <c r="M44" s="136"/>
      <c r="P44" s="132"/>
      <c r="Q44" s="141"/>
      <c r="U44" s="132"/>
    </row>
    <row r="45" spans="1:22" s="142" customFormat="1" ht="16.5" customHeight="1" x14ac:dyDescent="0.25">
      <c r="B45" s="136" t="s">
        <v>82</v>
      </c>
      <c r="C45" s="136"/>
      <c r="D45" s="143"/>
      <c r="E45" s="143"/>
      <c r="G45" s="143"/>
      <c r="H45" s="144"/>
      <c r="I45" s="144"/>
      <c r="K45" s="143"/>
      <c r="L45" s="144"/>
      <c r="M45" s="136"/>
      <c r="O45" s="145"/>
      <c r="Q45" s="145"/>
      <c r="T45" s="145"/>
    </row>
    <row r="46" spans="1:22" s="142" customFormat="1" ht="16.5" customHeight="1" x14ac:dyDescent="0.25">
      <c r="D46" s="146"/>
      <c r="E46" s="146"/>
      <c r="F46" s="146"/>
      <c r="G46" s="146"/>
      <c r="H46" s="146"/>
      <c r="I46" s="146"/>
      <c r="J46" s="146"/>
      <c r="K46" s="146"/>
      <c r="L46" s="146"/>
      <c r="M46" s="139"/>
    </row>
    <row r="47" spans="1:22" s="142" customFormat="1" ht="16.5" customHeight="1" x14ac:dyDescent="0.25">
      <c r="D47" s="143"/>
      <c r="E47" s="143"/>
      <c r="F47" s="144"/>
      <c r="G47" s="143"/>
      <c r="H47" s="144"/>
      <c r="I47" s="144"/>
      <c r="J47" s="144"/>
      <c r="K47" s="143"/>
      <c r="L47" s="144"/>
      <c r="M47" s="137"/>
    </row>
    <row r="48" spans="1:22" s="147" customFormat="1" ht="18.75" customHeight="1" x14ac:dyDescent="0.25">
      <c r="G48" s="148"/>
    </row>
    <row r="49" spans="2:19" s="147" customFormat="1" ht="18.75" customHeight="1" x14ac:dyDescent="0.25">
      <c r="B49" s="148"/>
      <c r="C49" s="148"/>
      <c r="D49" s="148"/>
      <c r="E49" s="148"/>
      <c r="F49" s="148"/>
      <c r="G49" s="149"/>
      <c r="J49" s="148"/>
      <c r="K49" s="149"/>
      <c r="L49" s="148"/>
      <c r="O49" s="148"/>
      <c r="Q49" s="148"/>
      <c r="S49" s="148"/>
    </row>
    <row r="50" spans="2:19" x14ac:dyDescent="0.25">
      <c r="F50" s="141"/>
      <c r="G50" s="141"/>
    </row>
    <row r="51" spans="2:19" x14ac:dyDescent="0.25">
      <c r="B51" s="132"/>
      <c r="C51" s="132"/>
      <c r="D51" s="132"/>
      <c r="E51" s="132"/>
      <c r="F51" s="132"/>
      <c r="G51" s="132"/>
    </row>
  </sheetData>
  <mergeCells count="4">
    <mergeCell ref="H4:M4"/>
    <mergeCell ref="B4:G4"/>
    <mergeCell ref="N4:R4"/>
    <mergeCell ref="S4:U4"/>
  </mergeCells>
  <pageMargins left="0.18" right="0.12" top="0.59" bottom="0.25" header="0.3" footer="0.3"/>
  <pageSetup paperSize="5" scale="70" fitToWidth="2" orientation="landscape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5" sqref="C5:D5"/>
    </sheetView>
  </sheetViews>
  <sheetFormatPr defaultColWidth="10" defaultRowHeight="13.2" x14ac:dyDescent="0.25"/>
  <cols>
    <col min="1" max="1" width="1.44140625" style="25" customWidth="1"/>
    <col min="2" max="2" width="21.77734375" style="24" customWidth="1"/>
    <col min="3" max="3" width="13.77734375" style="24" customWidth="1"/>
    <col min="4" max="4" width="11" style="24" bestFit="1" customWidth="1"/>
    <col min="5" max="5" width="13.77734375" style="24" customWidth="1"/>
    <col min="6" max="6" width="11" style="25" bestFit="1" customWidth="1"/>
    <col min="7" max="7" width="13.77734375" style="24" customWidth="1"/>
    <col min="8" max="8" width="11" style="24" bestFit="1" customWidth="1"/>
    <col min="9" max="9" width="13.77734375" style="24" customWidth="1"/>
    <col min="10" max="10" width="11" style="24" bestFit="1" customWidth="1"/>
    <col min="11" max="11" width="2.33203125" style="24" customWidth="1"/>
    <col min="12" max="12" width="16.77734375" style="24" bestFit="1" customWidth="1"/>
    <col min="13" max="13" width="2.44140625" style="24" customWidth="1"/>
    <col min="14" max="14" width="2.33203125" style="24" customWidth="1"/>
    <col min="15" max="15" width="15.109375" style="24" customWidth="1"/>
    <col min="16" max="16384" width="10" style="24"/>
  </cols>
  <sheetData>
    <row r="1" spans="1:15" ht="18.75" customHeight="1" x14ac:dyDescent="0.3">
      <c r="A1" s="23" t="s">
        <v>129</v>
      </c>
    </row>
    <row r="2" spans="1:15" ht="15.75" customHeight="1" x14ac:dyDescent="0.3">
      <c r="A2" s="106"/>
      <c r="B2" s="68"/>
    </row>
    <row r="3" spans="1:15" ht="14.25" customHeight="1" x14ac:dyDescent="0.25">
      <c r="C3" s="26">
        <v>-1</v>
      </c>
      <c r="D3" s="26"/>
      <c r="E3" s="26"/>
      <c r="F3" s="26"/>
      <c r="G3" s="26"/>
      <c r="H3" s="26"/>
      <c r="I3" s="26">
        <v>-2</v>
      </c>
      <c r="L3" s="26">
        <v>-3</v>
      </c>
    </row>
    <row r="4" spans="1:15" ht="36.75" customHeight="1" x14ac:dyDescent="0.25">
      <c r="A4" s="27"/>
      <c r="B4" s="28"/>
      <c r="C4" s="403"/>
      <c r="D4" s="404"/>
      <c r="E4" s="439" t="s">
        <v>168</v>
      </c>
      <c r="F4" s="440"/>
      <c r="G4" s="440"/>
      <c r="H4" s="440"/>
      <c r="I4" s="440"/>
      <c r="J4" s="440"/>
      <c r="K4" s="440"/>
      <c r="L4" s="440"/>
      <c r="M4" s="441"/>
      <c r="N4" s="70"/>
    </row>
    <row r="5" spans="1:15" s="31" customFormat="1" ht="53.4" thickBot="1" x14ac:dyDescent="0.3">
      <c r="A5" s="29"/>
      <c r="B5" s="30" t="s">
        <v>32</v>
      </c>
      <c r="C5" s="449" t="s">
        <v>85</v>
      </c>
      <c r="D5" s="450"/>
      <c r="E5" s="442" t="s">
        <v>86</v>
      </c>
      <c r="F5" s="443"/>
      <c r="G5" s="415" t="s">
        <v>87</v>
      </c>
      <c r="H5" s="416"/>
      <c r="I5" s="444" t="s">
        <v>169</v>
      </c>
      <c r="J5" s="445"/>
      <c r="K5" s="446" t="s">
        <v>170</v>
      </c>
      <c r="L5" s="447"/>
      <c r="M5" s="448"/>
      <c r="N5" s="32"/>
      <c r="O5" s="67"/>
    </row>
    <row r="6" spans="1:15" s="94" customFormat="1" ht="14.4" x14ac:dyDescent="0.25">
      <c r="A6" s="86"/>
      <c r="B6" s="87"/>
      <c r="C6" s="88" t="s">
        <v>38</v>
      </c>
      <c r="D6" s="89" t="s">
        <v>39</v>
      </c>
      <c r="E6" s="90" t="s">
        <v>38</v>
      </c>
      <c r="F6" s="91" t="s">
        <v>39</v>
      </c>
      <c r="G6" s="90" t="s">
        <v>38</v>
      </c>
      <c r="H6" s="89" t="s">
        <v>39</v>
      </c>
      <c r="I6" s="90" t="s">
        <v>38</v>
      </c>
      <c r="J6" s="91" t="s">
        <v>39</v>
      </c>
      <c r="K6" s="90"/>
      <c r="L6" s="92" t="s">
        <v>60</v>
      </c>
      <c r="M6" s="93"/>
      <c r="N6" s="87"/>
      <c r="O6" s="87"/>
    </row>
    <row r="7" spans="1:15" ht="9" customHeight="1" x14ac:dyDescent="0.3">
      <c r="A7" s="35"/>
      <c r="B7" s="33"/>
      <c r="C7" s="38"/>
      <c r="D7" s="33"/>
      <c r="E7" s="38"/>
      <c r="F7" s="36"/>
      <c r="G7" s="38"/>
      <c r="H7" s="34"/>
      <c r="I7" s="112"/>
      <c r="J7" s="36"/>
      <c r="K7" s="35"/>
      <c r="L7" s="68"/>
      <c r="M7" s="37"/>
      <c r="N7" s="33"/>
      <c r="O7" s="33"/>
    </row>
    <row r="8" spans="1:15" ht="13.8" x14ac:dyDescent="0.25">
      <c r="A8" s="39"/>
      <c r="B8" s="33" t="s">
        <v>40</v>
      </c>
      <c r="C8" s="40">
        <v>15817300</v>
      </c>
      <c r="D8" s="41">
        <f>C8/$C$32</f>
        <v>2.5273922127692482E-2</v>
      </c>
      <c r="E8" s="109">
        <v>19287000</v>
      </c>
      <c r="F8" s="41">
        <f t="shared" ref="F8:F30" si="0">E8/$E$32</f>
        <v>2.587725324099616E-2</v>
      </c>
      <c r="G8" s="109">
        <v>18920500</v>
      </c>
      <c r="H8" s="43">
        <f t="shared" ref="H8:H30" si="1">G8/$G$32</f>
        <v>2.6055574024105452E-2</v>
      </c>
      <c r="I8" s="42">
        <f>ROUND((691734800)*J8/100,0)*100+100</f>
        <v>18023600</v>
      </c>
      <c r="J8" s="41">
        <f>H8</f>
        <v>2.6055574024105452E-2</v>
      </c>
      <c r="K8" s="44"/>
      <c r="L8" s="45">
        <f>I8-C8</f>
        <v>2206300</v>
      </c>
      <c r="M8" s="37"/>
      <c r="N8" s="33"/>
      <c r="O8" s="47"/>
    </row>
    <row r="9" spans="1:15" ht="13.8" x14ac:dyDescent="0.25">
      <c r="A9" s="39"/>
      <c r="B9" s="33" t="s">
        <v>1</v>
      </c>
      <c r="C9" s="104">
        <v>6215700</v>
      </c>
      <c r="D9" s="41">
        <f t="shared" ref="D9:D30" si="2">C9/$C$32</f>
        <v>9.9318542209541564E-3</v>
      </c>
      <c r="E9" s="110">
        <v>6605200</v>
      </c>
      <c r="F9" s="41">
        <f t="shared" si="0"/>
        <v>8.8621575728432544E-3</v>
      </c>
      <c r="G9" s="111">
        <v>7038900</v>
      </c>
      <c r="H9" s="43">
        <f t="shared" si="1"/>
        <v>9.6933262862120909E-3</v>
      </c>
      <c r="I9" s="104">
        <f>ROUND((691734800)*J9/100,0)*100</f>
        <v>6705200</v>
      </c>
      <c r="J9" s="41">
        <f t="shared" ref="J9:J30" si="3">H9</f>
        <v>9.6933262862120909E-3</v>
      </c>
      <c r="K9" s="44"/>
      <c r="L9" s="48">
        <f>I9-C9</f>
        <v>489500</v>
      </c>
      <c r="M9" s="37"/>
      <c r="N9" s="46"/>
      <c r="O9" s="47"/>
    </row>
    <row r="10" spans="1:15" ht="13.8" x14ac:dyDescent="0.25">
      <c r="A10" s="39"/>
      <c r="B10" s="33" t="s">
        <v>41</v>
      </c>
      <c r="C10" s="104">
        <v>22678800</v>
      </c>
      <c r="D10" s="41">
        <f t="shared" si="2"/>
        <v>3.6237678058171262E-2</v>
      </c>
      <c r="E10" s="110">
        <v>26243000</v>
      </c>
      <c r="F10" s="41">
        <f t="shared" si="0"/>
        <v>3.5210077088373627E-2</v>
      </c>
      <c r="G10" s="111">
        <v>26135600</v>
      </c>
      <c r="H10" s="43">
        <f t="shared" si="1"/>
        <v>3.5991546759568213E-2</v>
      </c>
      <c r="I10" s="104">
        <f t="shared" ref="I10:I30" si="4">ROUND((691734800)*J10/100,0)*100</f>
        <v>24896600</v>
      </c>
      <c r="J10" s="41">
        <f t="shared" si="3"/>
        <v>3.5991546759568213E-2</v>
      </c>
      <c r="K10" s="44"/>
      <c r="L10" s="48">
        <f t="shared" ref="L10:L30" si="5">I10-C10</f>
        <v>2217800</v>
      </c>
      <c r="M10" s="37"/>
      <c r="N10" s="46"/>
      <c r="O10" s="47"/>
    </row>
    <row r="11" spans="1:15" ht="13.8" x14ac:dyDescent="0.25">
      <c r="A11" s="39"/>
      <c r="B11" s="33" t="s">
        <v>42</v>
      </c>
      <c r="C11" s="105">
        <v>28907000</v>
      </c>
      <c r="D11" s="41">
        <f t="shared" si="2"/>
        <v>4.6189505601158642E-2</v>
      </c>
      <c r="E11" s="110">
        <v>34295600</v>
      </c>
      <c r="F11" s="41">
        <f t="shared" si="0"/>
        <v>4.601420263658982E-2</v>
      </c>
      <c r="G11" s="111">
        <v>32515600</v>
      </c>
      <c r="H11" s="43">
        <f t="shared" si="1"/>
        <v>4.4777496511096603E-2</v>
      </c>
      <c r="I11" s="104">
        <f t="shared" si="4"/>
        <v>30974200</v>
      </c>
      <c r="J11" s="41">
        <f>H11</f>
        <v>4.4777496511096603E-2</v>
      </c>
      <c r="K11" s="44"/>
      <c r="L11" s="48">
        <f t="shared" si="5"/>
        <v>2067200</v>
      </c>
      <c r="M11" s="37"/>
      <c r="N11" s="46"/>
      <c r="O11" s="47"/>
    </row>
    <row r="12" spans="1:15" ht="13.8" x14ac:dyDescent="0.25">
      <c r="A12" s="39"/>
      <c r="B12" s="33" t="s">
        <v>28</v>
      </c>
      <c r="C12" s="105">
        <v>21925800</v>
      </c>
      <c r="D12" s="41">
        <f t="shared" si="2"/>
        <v>3.5034485138889689E-2</v>
      </c>
      <c r="E12" s="110">
        <v>24660400</v>
      </c>
      <c r="F12" s="41">
        <f t="shared" si="0"/>
        <v>3.3086712076749195E-2</v>
      </c>
      <c r="G12" s="111">
        <v>24513500</v>
      </c>
      <c r="H12" s="43">
        <f t="shared" si="1"/>
        <v>3.3757739691863797E-2</v>
      </c>
      <c r="I12" s="104">
        <f t="shared" si="4"/>
        <v>23351400</v>
      </c>
      <c r="J12" s="41">
        <f t="shared" si="3"/>
        <v>3.3757739691863797E-2</v>
      </c>
      <c r="K12" s="44"/>
      <c r="L12" s="48">
        <f t="shared" si="5"/>
        <v>1425600</v>
      </c>
      <c r="M12" s="37"/>
      <c r="N12" s="46"/>
      <c r="O12" s="47"/>
    </row>
    <row r="13" spans="1:15" ht="13.8" x14ac:dyDescent="0.25">
      <c r="A13" s="39"/>
      <c r="B13" s="33" t="s">
        <v>43</v>
      </c>
      <c r="C13" s="105">
        <v>34935700</v>
      </c>
      <c r="D13" s="41">
        <f t="shared" si="2"/>
        <v>5.5822558924495731E-2</v>
      </c>
      <c r="E13" s="110">
        <v>41522500</v>
      </c>
      <c r="F13" s="41">
        <f t="shared" si="0"/>
        <v>5.5710491403497847E-2</v>
      </c>
      <c r="G13" s="111">
        <v>41090700</v>
      </c>
      <c r="H13" s="43">
        <f t="shared" si="1"/>
        <v>5.6586336278233125E-2</v>
      </c>
      <c r="I13" s="104">
        <f t="shared" si="4"/>
        <v>39142700</v>
      </c>
      <c r="J13" s="41">
        <f t="shared" si="3"/>
        <v>5.6586336278233125E-2</v>
      </c>
      <c r="K13" s="44"/>
      <c r="L13" s="48">
        <f t="shared" si="5"/>
        <v>4207000</v>
      </c>
      <c r="M13" s="37"/>
      <c r="N13" s="46"/>
      <c r="O13" s="47"/>
    </row>
    <row r="14" spans="1:15" ht="13.8" x14ac:dyDescent="0.25">
      <c r="A14" s="39"/>
      <c r="B14" s="33" t="s">
        <v>44</v>
      </c>
      <c r="C14" s="104">
        <v>45000900</v>
      </c>
      <c r="D14" s="41">
        <f t="shared" si="2"/>
        <v>7.1905397398802362E-2</v>
      </c>
      <c r="E14" s="110">
        <v>55818500</v>
      </c>
      <c r="F14" s="41">
        <f t="shared" si="0"/>
        <v>7.4891349615416811E-2</v>
      </c>
      <c r="G14" s="111">
        <v>53010900</v>
      </c>
      <c r="H14" s="43">
        <f t="shared" si="1"/>
        <v>7.3001740389231351E-2</v>
      </c>
      <c r="I14" s="104">
        <f>ROUND((691734800)*J14/100,0)*100+100</f>
        <v>50497900</v>
      </c>
      <c r="J14" s="41">
        <f t="shared" si="3"/>
        <v>7.3001740389231351E-2</v>
      </c>
      <c r="K14" s="44"/>
      <c r="L14" s="48">
        <f t="shared" si="5"/>
        <v>5497000</v>
      </c>
      <c r="M14" s="37"/>
      <c r="N14" s="46"/>
      <c r="O14" s="47"/>
    </row>
    <row r="15" spans="1:15" ht="13.8" x14ac:dyDescent="0.25">
      <c r="A15" s="39"/>
      <c r="B15" s="33" t="s">
        <v>45</v>
      </c>
      <c r="C15" s="104">
        <v>15031900</v>
      </c>
      <c r="D15" s="41">
        <f t="shared" si="2"/>
        <v>2.4018958357700786E-2</v>
      </c>
      <c r="E15" s="110">
        <v>16370600</v>
      </c>
      <c r="F15" s="41">
        <f t="shared" si="0"/>
        <v>2.1964336698659808E-2</v>
      </c>
      <c r="G15" s="111">
        <v>16321500</v>
      </c>
      <c r="H15" s="43">
        <f t="shared" si="1"/>
        <v>2.2476470042252433E-2</v>
      </c>
      <c r="I15" s="104">
        <f t="shared" si="4"/>
        <v>15547800</v>
      </c>
      <c r="J15" s="41">
        <f t="shared" si="3"/>
        <v>2.2476470042252433E-2</v>
      </c>
      <c r="K15" s="44"/>
      <c r="L15" s="48">
        <f t="shared" si="5"/>
        <v>515900</v>
      </c>
      <c r="M15" s="37"/>
      <c r="N15" s="46"/>
      <c r="O15" s="47"/>
    </row>
    <row r="16" spans="1:15" ht="13.8" x14ac:dyDescent="0.25">
      <c r="A16" s="39"/>
      <c r="B16" s="33" t="s">
        <v>46</v>
      </c>
      <c r="C16" s="104">
        <v>50505800</v>
      </c>
      <c r="D16" s="41">
        <f t="shared" si="2"/>
        <v>8.0701488635659124E-2</v>
      </c>
      <c r="E16" s="110">
        <v>60383400</v>
      </c>
      <c r="F16" s="41">
        <f t="shared" si="0"/>
        <v>8.1016048807609653E-2</v>
      </c>
      <c r="G16" s="111">
        <v>57779000</v>
      </c>
      <c r="H16" s="43">
        <f t="shared" si="1"/>
        <v>7.9567929575792867E-2</v>
      </c>
      <c r="I16" s="104">
        <f t="shared" si="4"/>
        <v>55039900</v>
      </c>
      <c r="J16" s="41">
        <f t="shared" si="3"/>
        <v>7.9567929575792867E-2</v>
      </c>
      <c r="K16" s="44"/>
      <c r="L16" s="48">
        <f t="shared" si="5"/>
        <v>4534100</v>
      </c>
      <c r="M16" s="37"/>
      <c r="N16" s="46"/>
      <c r="O16" s="47"/>
    </row>
    <row r="17" spans="1:15" ht="13.8" x14ac:dyDescent="0.25">
      <c r="A17" s="39"/>
      <c r="B17" s="33" t="s">
        <v>47</v>
      </c>
      <c r="C17" s="105">
        <v>42333400</v>
      </c>
      <c r="D17" s="41">
        <f t="shared" si="2"/>
        <v>6.7643090476911805E-2</v>
      </c>
      <c r="E17" s="110">
        <v>50150500</v>
      </c>
      <c r="F17" s="41">
        <f t="shared" si="0"/>
        <v>6.7286627711027003E-2</v>
      </c>
      <c r="G17" s="111">
        <v>48235200</v>
      </c>
      <c r="H17" s="43">
        <f t="shared" si="1"/>
        <v>6.6425085181022234E-2</v>
      </c>
      <c r="I17" s="104">
        <f t="shared" si="4"/>
        <v>45948500</v>
      </c>
      <c r="J17" s="41">
        <f t="shared" si="3"/>
        <v>6.6425085181022234E-2</v>
      </c>
      <c r="K17" s="44"/>
      <c r="L17" s="48">
        <f t="shared" si="5"/>
        <v>3615100</v>
      </c>
      <c r="M17" s="37"/>
      <c r="N17" s="46"/>
      <c r="O17" s="47"/>
    </row>
    <row r="18" spans="1:15" ht="13.8" x14ac:dyDescent="0.25">
      <c r="A18" s="39"/>
      <c r="B18" s="33" t="s">
        <v>9</v>
      </c>
      <c r="C18" s="105">
        <v>1638900</v>
      </c>
      <c r="D18" s="41">
        <f t="shared" si="2"/>
        <v>2.6187421984204136E-3</v>
      </c>
      <c r="E18" s="110">
        <v>1822000</v>
      </c>
      <c r="F18" s="41">
        <f t="shared" si="0"/>
        <v>2.4445665684188832E-3</v>
      </c>
      <c r="G18" s="111">
        <v>1905600</v>
      </c>
      <c r="H18" s="43">
        <f t="shared" si="1"/>
        <v>2.6242172173217065E-3</v>
      </c>
      <c r="I18" s="104">
        <f t="shared" si="4"/>
        <v>1815300</v>
      </c>
      <c r="J18" s="41">
        <f t="shared" si="3"/>
        <v>2.6242172173217065E-3</v>
      </c>
      <c r="K18" s="44"/>
      <c r="L18" s="48">
        <f t="shared" si="5"/>
        <v>176400</v>
      </c>
      <c r="M18" s="37"/>
      <c r="N18" s="46"/>
      <c r="O18" s="47"/>
    </row>
    <row r="19" spans="1:15" ht="13.8" x14ac:dyDescent="0.25">
      <c r="A19" s="39"/>
      <c r="B19" s="33" t="s">
        <v>10</v>
      </c>
      <c r="C19" s="105">
        <v>8975700</v>
      </c>
      <c r="D19" s="41">
        <f t="shared" si="2"/>
        <v>1.4341963725890602E-2</v>
      </c>
      <c r="E19" s="110">
        <v>9255600</v>
      </c>
      <c r="F19" s="41">
        <f t="shared" si="0"/>
        <v>1.2418183496519108E-2</v>
      </c>
      <c r="G19" s="111">
        <v>10125600</v>
      </c>
      <c r="H19" s="43">
        <f t="shared" si="1"/>
        <v>1.3944045894055767E-2</v>
      </c>
      <c r="I19" s="104">
        <f t="shared" si="4"/>
        <v>9645600</v>
      </c>
      <c r="J19" s="41">
        <f t="shared" si="3"/>
        <v>1.3944045894055767E-2</v>
      </c>
      <c r="K19" s="44"/>
      <c r="L19" s="48">
        <f t="shared" si="5"/>
        <v>669900</v>
      </c>
      <c r="M19" s="37"/>
      <c r="N19" s="46"/>
      <c r="O19" s="47"/>
    </row>
    <row r="20" spans="1:15" ht="13.8" x14ac:dyDescent="0.25">
      <c r="A20" s="39"/>
      <c r="B20" s="33" t="s">
        <v>48</v>
      </c>
      <c r="C20" s="105">
        <v>52903000</v>
      </c>
      <c r="D20" s="41">
        <f t="shared" si="2"/>
        <v>8.4531892441903192E-2</v>
      </c>
      <c r="E20" s="110">
        <v>62846400</v>
      </c>
      <c r="F20" s="41">
        <f t="shared" si="0"/>
        <v>8.432064126535703E-2</v>
      </c>
      <c r="G20" s="111">
        <v>61985500</v>
      </c>
      <c r="H20" s="43">
        <f t="shared" si="1"/>
        <v>8.536073484692204E-2</v>
      </c>
      <c r="I20" s="104">
        <f t="shared" si="4"/>
        <v>59047000</v>
      </c>
      <c r="J20" s="41">
        <f t="shared" si="3"/>
        <v>8.536073484692204E-2</v>
      </c>
      <c r="K20" s="44"/>
      <c r="L20" s="48">
        <f t="shared" si="5"/>
        <v>6144000</v>
      </c>
      <c r="M20" s="37"/>
      <c r="N20" s="46"/>
      <c r="O20" s="47"/>
    </row>
    <row r="21" spans="1:15" ht="13.8" x14ac:dyDescent="0.25">
      <c r="A21" s="39"/>
      <c r="B21" s="33" t="s">
        <v>49</v>
      </c>
      <c r="C21" s="105">
        <v>31198800</v>
      </c>
      <c r="D21" s="41">
        <f t="shared" si="2"/>
        <v>4.9851494356018551E-2</v>
      </c>
      <c r="E21" s="110">
        <v>36607500</v>
      </c>
      <c r="F21" s="41">
        <f t="shared" si="0"/>
        <v>4.9116065122609368E-2</v>
      </c>
      <c r="G21" s="111">
        <v>35281600</v>
      </c>
      <c r="H21" s="43">
        <f t="shared" si="1"/>
        <v>4.8586577547574263E-2</v>
      </c>
      <c r="I21" s="104">
        <f t="shared" si="4"/>
        <v>33609000</v>
      </c>
      <c r="J21" s="41">
        <f t="shared" si="3"/>
        <v>4.8586577547574263E-2</v>
      </c>
      <c r="K21" s="44"/>
      <c r="L21" s="48">
        <f t="shared" si="5"/>
        <v>2410200</v>
      </c>
      <c r="M21" s="37"/>
      <c r="N21" s="46"/>
      <c r="O21" s="47"/>
    </row>
    <row r="22" spans="1:15" ht="13.8" x14ac:dyDescent="0.25">
      <c r="A22" s="39"/>
      <c r="B22" s="33" t="s">
        <v>50</v>
      </c>
      <c r="C22" s="105">
        <v>41288400</v>
      </c>
      <c r="D22" s="41">
        <f t="shared" si="2"/>
        <v>6.5973320754934048E-2</v>
      </c>
      <c r="E22" s="110">
        <v>49711900</v>
      </c>
      <c r="F22" s="41">
        <f t="shared" si="0"/>
        <v>6.6698160698453718E-2</v>
      </c>
      <c r="G22" s="111">
        <v>49050700</v>
      </c>
      <c r="H22" s="43">
        <f t="shared" si="1"/>
        <v>6.7548116845970729E-2</v>
      </c>
      <c r="I22" s="104">
        <f t="shared" si="4"/>
        <v>46725400</v>
      </c>
      <c r="J22" s="41">
        <f t="shared" si="3"/>
        <v>6.7548116845970729E-2</v>
      </c>
      <c r="K22" s="44"/>
      <c r="L22" s="48">
        <f t="shared" si="5"/>
        <v>5437000</v>
      </c>
      <c r="M22" s="37"/>
      <c r="N22" s="46"/>
      <c r="O22" s="47"/>
    </row>
    <row r="23" spans="1:15" ht="13.8" x14ac:dyDescent="0.25">
      <c r="A23" s="39"/>
      <c r="B23" s="33" t="s">
        <v>51</v>
      </c>
      <c r="C23" s="105">
        <v>34143300</v>
      </c>
      <c r="D23" s="41">
        <f t="shared" si="2"/>
        <v>5.4556410094165425E-2</v>
      </c>
      <c r="E23" s="110">
        <v>39632800</v>
      </c>
      <c r="F23" s="41">
        <f t="shared" si="0"/>
        <v>5.3175092147547703E-2</v>
      </c>
      <c r="G23" s="111">
        <v>37932600</v>
      </c>
      <c r="H23" s="43">
        <f t="shared" si="1"/>
        <v>5.2237291151226578E-2</v>
      </c>
      <c r="I23" s="104">
        <f t="shared" si="4"/>
        <v>36134400</v>
      </c>
      <c r="J23" s="41">
        <f t="shared" si="3"/>
        <v>5.2237291151226578E-2</v>
      </c>
      <c r="K23" s="44"/>
      <c r="L23" s="48">
        <f t="shared" si="5"/>
        <v>1991100</v>
      </c>
      <c r="M23" s="37"/>
      <c r="N23" s="46"/>
      <c r="O23" s="47"/>
    </row>
    <row r="24" spans="1:15" ht="13.8" x14ac:dyDescent="0.25">
      <c r="A24" s="39"/>
      <c r="B24" s="33" t="s">
        <v>52</v>
      </c>
      <c r="C24" s="105">
        <v>40341800</v>
      </c>
      <c r="D24" s="41">
        <f t="shared" si="2"/>
        <v>6.4460781024001865E-2</v>
      </c>
      <c r="E24" s="110">
        <v>49165600</v>
      </c>
      <c r="F24" s="41">
        <f>E24/$E$32</f>
        <v>6.5965193236144595E-2</v>
      </c>
      <c r="G24" s="111">
        <v>47454700</v>
      </c>
      <c r="H24" s="43">
        <f t="shared" si="1"/>
        <v>6.535025229997711E-2</v>
      </c>
      <c r="I24" s="104">
        <f t="shared" si="4"/>
        <v>45205000</v>
      </c>
      <c r="J24" s="41">
        <f t="shared" si="3"/>
        <v>6.535025229997711E-2</v>
      </c>
      <c r="K24" s="44"/>
      <c r="L24" s="48">
        <f t="shared" si="5"/>
        <v>4863200</v>
      </c>
      <c r="M24" s="37"/>
      <c r="N24" s="46"/>
      <c r="O24" s="47"/>
    </row>
    <row r="25" spans="1:15" ht="13.8" x14ac:dyDescent="0.25">
      <c r="A25" s="39"/>
      <c r="B25" s="33" t="s">
        <v>53</v>
      </c>
      <c r="C25" s="105">
        <v>43742300</v>
      </c>
      <c r="D25" s="41">
        <f t="shared" si="2"/>
        <v>6.9894323549920839E-2</v>
      </c>
      <c r="E25" s="110">
        <v>53499500</v>
      </c>
      <c r="F25" s="41">
        <f>E25/$E$32</f>
        <v>7.1779961101605949E-2</v>
      </c>
      <c r="G25" s="111">
        <v>51300700</v>
      </c>
      <c r="H25" s="43">
        <f>G25/$G$32</f>
        <v>7.0646610096901583E-2</v>
      </c>
      <c r="I25" s="104">
        <f t="shared" si="4"/>
        <v>48868700</v>
      </c>
      <c r="J25" s="41">
        <f t="shared" si="3"/>
        <v>7.0646610096901583E-2</v>
      </c>
      <c r="K25" s="44"/>
      <c r="L25" s="48">
        <f t="shared" si="5"/>
        <v>5126400</v>
      </c>
      <c r="M25" s="37"/>
      <c r="N25" s="46"/>
      <c r="O25" s="47"/>
    </row>
    <row r="26" spans="1:15" ht="13.8" x14ac:dyDescent="0.25">
      <c r="A26" s="39"/>
      <c r="B26" s="33" t="s">
        <v>54</v>
      </c>
      <c r="C26" s="105">
        <v>34907300</v>
      </c>
      <c r="D26" s="41">
        <f t="shared" si="2"/>
        <v>5.5777179536836238E-2</v>
      </c>
      <c r="E26" s="110">
        <v>42500400</v>
      </c>
      <c r="F26" s="41">
        <f t="shared" si="0"/>
        <v>5.7022534019994464E-2</v>
      </c>
      <c r="G26" s="111">
        <v>41399700</v>
      </c>
      <c r="H26" s="43">
        <f t="shared" si="1"/>
        <v>5.7011862684694298E-2</v>
      </c>
      <c r="I26" s="104">
        <f t="shared" si="4"/>
        <v>39437100</v>
      </c>
      <c r="J26" s="41">
        <f t="shared" si="3"/>
        <v>5.7011862684694298E-2</v>
      </c>
      <c r="K26" s="44"/>
      <c r="L26" s="48">
        <f t="shared" si="5"/>
        <v>4529800</v>
      </c>
      <c r="M26" s="37"/>
      <c r="N26" s="46"/>
      <c r="O26" s="47"/>
    </row>
    <row r="27" spans="1:15" ht="13.8" x14ac:dyDescent="0.25">
      <c r="A27" s="39"/>
      <c r="B27" s="33" t="s">
        <v>55</v>
      </c>
      <c r="C27" s="105">
        <v>14682500</v>
      </c>
      <c r="D27" s="41">
        <f t="shared" si="2"/>
        <v>2.3460664060228033E-2</v>
      </c>
      <c r="E27" s="110">
        <v>17733300</v>
      </c>
      <c r="F27" s="41">
        <f t="shared" si="0"/>
        <v>2.3792663187564535E-2</v>
      </c>
      <c r="G27" s="111">
        <v>16480200</v>
      </c>
      <c r="H27" s="43">
        <f t="shared" si="1"/>
        <v>2.2695017099551421E-2</v>
      </c>
      <c r="I27" s="104">
        <f t="shared" si="4"/>
        <v>15698900</v>
      </c>
      <c r="J27" s="41">
        <f t="shared" si="3"/>
        <v>2.2695017099551421E-2</v>
      </c>
      <c r="K27" s="44"/>
      <c r="L27" s="48">
        <f t="shared" si="5"/>
        <v>1016400</v>
      </c>
      <c r="M27" s="37"/>
      <c r="N27" s="46"/>
      <c r="O27" s="47"/>
    </row>
    <row r="28" spans="1:15" ht="13.8" x14ac:dyDescent="0.25">
      <c r="A28" s="39"/>
      <c r="B28" s="33" t="s">
        <v>56</v>
      </c>
      <c r="C28" s="105">
        <v>14289900</v>
      </c>
      <c r="D28" s="41">
        <f t="shared" si="2"/>
        <v>2.2833341961808452E-2</v>
      </c>
      <c r="E28" s="110">
        <v>17033000</v>
      </c>
      <c r="F28" s="41">
        <f t="shared" si="0"/>
        <v>2.2853074840767748E-2</v>
      </c>
      <c r="G28" s="111">
        <v>17775600</v>
      </c>
      <c r="H28" s="43">
        <f t="shared" si="1"/>
        <v>2.4478922947220681E-2</v>
      </c>
      <c r="I28" s="104">
        <f t="shared" si="4"/>
        <v>16932900</v>
      </c>
      <c r="J28" s="41">
        <f t="shared" si="3"/>
        <v>2.4478922947220681E-2</v>
      </c>
      <c r="K28" s="44"/>
      <c r="L28" s="48">
        <f t="shared" si="5"/>
        <v>2643000</v>
      </c>
      <c r="M28" s="37"/>
      <c r="N28" s="46"/>
      <c r="O28" s="47"/>
    </row>
    <row r="29" spans="1:15" ht="13.8" x14ac:dyDescent="0.25">
      <c r="A29" s="39"/>
      <c r="B29" s="33" t="s">
        <v>57</v>
      </c>
      <c r="C29" s="105">
        <v>9644100</v>
      </c>
      <c r="D29" s="41">
        <f t="shared" si="2"/>
        <v>1.5409977201651298E-2</v>
      </c>
      <c r="E29" s="110">
        <v>11662800</v>
      </c>
      <c r="F29" s="41">
        <f t="shared" si="0"/>
        <v>1.5647909425991084E-2</v>
      </c>
      <c r="G29" s="111">
        <v>11756900</v>
      </c>
      <c r="H29" s="43">
        <f t="shared" si="1"/>
        <v>1.6190522356386215E-2</v>
      </c>
      <c r="I29" s="104">
        <f t="shared" si="4"/>
        <v>11199500</v>
      </c>
      <c r="J29" s="41">
        <f t="shared" si="3"/>
        <v>1.6190522356386215E-2</v>
      </c>
      <c r="K29" s="44"/>
      <c r="L29" s="48">
        <f t="shared" si="5"/>
        <v>1555400</v>
      </c>
      <c r="M29" s="37"/>
      <c r="N29" s="46"/>
      <c r="O29" s="47"/>
    </row>
    <row r="30" spans="1:15" ht="13.8" x14ac:dyDescent="0.25">
      <c r="A30" s="39"/>
      <c r="B30" s="33" t="s">
        <v>58</v>
      </c>
      <c r="C30" s="105">
        <v>14726500</v>
      </c>
      <c r="D30" s="41">
        <f t="shared" si="2"/>
        <v>2.3530970153784993E-2</v>
      </c>
      <c r="E30" s="110">
        <v>18518900</v>
      </c>
      <c r="F30" s="41">
        <f t="shared" si="0"/>
        <v>2.48466980372626E-2</v>
      </c>
      <c r="G30" s="111">
        <v>18148600</v>
      </c>
      <c r="H30" s="43">
        <f t="shared" si="1"/>
        <v>2.4992584272819439E-2</v>
      </c>
      <c r="I30" s="104">
        <f t="shared" si="4"/>
        <v>17288200</v>
      </c>
      <c r="J30" s="41">
        <f t="shared" si="3"/>
        <v>2.4992584272819439E-2</v>
      </c>
      <c r="K30" s="44"/>
      <c r="L30" s="48">
        <f t="shared" si="5"/>
        <v>2561700</v>
      </c>
      <c r="M30" s="37"/>
      <c r="N30" s="46"/>
      <c r="O30" s="47"/>
    </row>
    <row r="31" spans="1:15" ht="13.8" x14ac:dyDescent="0.25">
      <c r="A31" s="39"/>
      <c r="B31" s="33"/>
      <c r="C31" s="52"/>
      <c r="D31" s="50"/>
      <c r="E31" s="38"/>
      <c r="F31" s="51"/>
      <c r="G31" s="38"/>
      <c r="H31" s="49"/>
      <c r="I31" s="52"/>
      <c r="J31" s="51"/>
      <c r="K31" s="53"/>
      <c r="L31" s="48"/>
      <c r="M31" s="37"/>
      <c r="N31" s="46"/>
      <c r="O31" s="46"/>
    </row>
    <row r="32" spans="1:15" ht="13.8" x14ac:dyDescent="0.25">
      <c r="A32" s="54"/>
      <c r="B32" s="55" t="s">
        <v>22</v>
      </c>
      <c r="C32" s="57">
        <f t="shared" ref="C32:J32" si="6">SUM(C8:C30)</f>
        <v>625834800</v>
      </c>
      <c r="D32" s="56">
        <f t="shared" si="6"/>
        <v>1</v>
      </c>
      <c r="E32" s="57">
        <f t="shared" si="6"/>
        <v>745326400</v>
      </c>
      <c r="F32" s="58">
        <f t="shared" si="6"/>
        <v>0.99999999999999978</v>
      </c>
      <c r="G32" s="57">
        <f t="shared" si="6"/>
        <v>726159400</v>
      </c>
      <c r="H32" s="56">
        <f t="shared" si="6"/>
        <v>1</v>
      </c>
      <c r="I32" s="57">
        <f>SUM(I8:I31)</f>
        <v>691734800</v>
      </c>
      <c r="J32" s="58">
        <f t="shared" si="6"/>
        <v>1</v>
      </c>
      <c r="K32" s="59"/>
      <c r="L32" s="60">
        <f>SUM(L8:L31)</f>
        <v>65900000</v>
      </c>
      <c r="M32" s="61"/>
      <c r="N32" s="63"/>
      <c r="O32" s="62"/>
    </row>
    <row r="33" spans="3:15" x14ac:dyDescent="0.25">
      <c r="C33" s="64"/>
      <c r="D33" s="64"/>
      <c r="E33" s="64"/>
      <c r="F33" s="65"/>
      <c r="G33" s="64"/>
      <c r="H33" s="64"/>
      <c r="I33" s="63"/>
      <c r="J33" s="64"/>
      <c r="K33" s="64"/>
      <c r="L33" s="64"/>
      <c r="M33" s="63"/>
      <c r="O33" s="71"/>
    </row>
    <row r="34" spans="3:15" x14ac:dyDescent="0.25">
      <c r="C34" s="66"/>
      <c r="I34" s="66"/>
      <c r="J34" s="66"/>
      <c r="K34" s="66"/>
      <c r="L34" s="66"/>
      <c r="O34" s="71"/>
    </row>
    <row r="35" spans="3:15" x14ac:dyDescent="0.25">
      <c r="C35" s="107"/>
      <c r="I35" s="66"/>
      <c r="L35" s="66"/>
    </row>
    <row r="36" spans="3:15" x14ac:dyDescent="0.25">
      <c r="C36" s="66"/>
    </row>
  </sheetData>
  <mergeCells count="5">
    <mergeCell ref="E4:M4"/>
    <mergeCell ref="E5:F5"/>
    <mergeCell ref="I5:J5"/>
    <mergeCell ref="K5:M5"/>
    <mergeCell ref="C5:D5"/>
  </mergeCells>
  <pageMargins left="0.5" right="0.5" top="0.5" bottom="0.5" header="0.5" footer="0.5"/>
  <pageSetup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72WVDYXX2UNK-1717399031-92</_dlc_DocId>
    <_dlc_DocIdUrl xmlns="30355ef0-b855-4ebb-a92a-a6c79f7573fd">
      <Url>https://www.calstate.edu/csu-system/about-the-csu/budget/_layouts/15/DocIdRedir.aspx?ID=72WVDYXX2UNK-1717399031-92</Url>
      <Description>72WVDYXX2UNK-1717399031-92</Description>
    </_dlc_DocIdUrl>
  </documentManagement>
</p:properties>
</file>

<file path=customXml/itemProps1.xml><?xml version="1.0" encoding="utf-8"?>
<ds:datastoreItem xmlns:ds="http://schemas.openxmlformats.org/officeDocument/2006/customXml" ds:itemID="{6B84C95D-EC23-4285-9438-E63A403198CE}"/>
</file>

<file path=customXml/itemProps2.xml><?xml version="1.0" encoding="utf-8"?>
<ds:datastoreItem xmlns:ds="http://schemas.openxmlformats.org/officeDocument/2006/customXml" ds:itemID="{B4E25E39-7D2E-471D-B095-7E0D04D4E6BC}"/>
</file>

<file path=customXml/itemProps3.xml><?xml version="1.0" encoding="utf-8"?>
<ds:datastoreItem xmlns:ds="http://schemas.openxmlformats.org/officeDocument/2006/customXml" ds:itemID="{13E8AB35-920E-41D0-971B-92896333A6A7}"/>
</file>

<file path=customXml/itemProps4.xml><?xml version="1.0" encoding="utf-8"?>
<ds:datastoreItem xmlns:ds="http://schemas.openxmlformats.org/officeDocument/2006/customXml" ds:itemID="{3601C611-4F6D-4267-9033-69507F9B6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(A) Budget Summary</vt:lpstr>
      <vt:lpstr>(B) Base Bud Adj</vt:lpstr>
      <vt:lpstr>(C) 12-13 Expenditure Adjust.</vt:lpstr>
      <vt:lpstr>(D) Tuition Revenue</vt:lpstr>
      <vt:lpstr>(E) SUG </vt:lpstr>
      <vt:lpstr>'(A) Budget Summary'!Print_Area</vt:lpstr>
      <vt:lpstr>'(B) Base Bud Adj'!Print_Area</vt:lpstr>
      <vt:lpstr>'(C) 12-13 Expenditure Adjust.'!Print_Area</vt:lpstr>
      <vt:lpstr>'(D) Tuition Revenue'!Print_Area</vt:lpstr>
      <vt:lpstr>'(E) SUG '!Print_Area</vt:lpstr>
      <vt:lpstr>'(D) Tuition Revenue'!Print_Titles</vt:lpstr>
    </vt:vector>
  </TitlesOfParts>
  <Company>California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Rideau</dc:creator>
  <cp:lastModifiedBy>Canfield, Chris</cp:lastModifiedBy>
  <cp:lastPrinted>2012-02-14T22:13:30Z</cp:lastPrinted>
  <dcterms:created xsi:type="dcterms:W3CDTF">2005-01-20T22:46:37Z</dcterms:created>
  <dcterms:modified xsi:type="dcterms:W3CDTF">2012-02-14T22:41:23Z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0a6aa0ae-687f-451f-82cc-e23547993f2d</vt:lpwstr>
  </property>
</Properties>
</file>