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0068" yWindow="-12" windowWidth="5040" windowHeight="8388" tabRatio="569"/>
  </bookViews>
  <sheets>
    <sheet name="(A) Budget Summary" sheetId="4" r:id="rId1"/>
    <sheet name="(B) Base Bud Adj" sheetId="3" r:id="rId2"/>
    <sheet name="(C) 14-15 CSU GF Adjustments" sheetId="54" r:id="rId3"/>
    <sheet name="(D) Tuition Fee Revenue" sheetId="52" r:id="rId4"/>
    <sheet name="(E) Tuit Fee Discounts" sheetId="55" r:id="rId5"/>
  </sheets>
  <definedNames>
    <definedName name="cy0506_updated" localSheetId="4">#REF!</definedName>
    <definedName name="cy0506_updated">#REF!</definedName>
    <definedName name="Limited" localSheetId="4">#REF!</definedName>
    <definedName name="Limited">#REF!</definedName>
    <definedName name="Limited_Nonresident_Data" localSheetId="4">#REF!</definedName>
    <definedName name="Limited_Nonresident_Data">#REF!</definedName>
    <definedName name="Limited_Resident_Data">#REF!</definedName>
    <definedName name="_xlnm.Print_Area" localSheetId="0">'(A) Budget Summary'!$A$1:$W$44</definedName>
    <definedName name="_xlnm.Print_Area" localSheetId="1">'(B) Base Bud Adj'!$A$1:$AY$49</definedName>
    <definedName name="_xlnm.Print_Area" localSheetId="2">'(C) 14-15 CSU GF Adjustments'!$A$1:$R$45</definedName>
    <definedName name="_xlnm.Print_Area" localSheetId="3">'(D) Tuition Fee Revenue'!$A$1:$T$45</definedName>
    <definedName name="_xlnm.Print_Area" localSheetId="4">'(E) Tuit Fee Discounts'!$A$1:$O$34</definedName>
    <definedName name="_xlnm.Print_Titles" localSheetId="3">'(D) Tuition Fee Revenue'!$A:$A,'(D) Tuition Fee Revenue'!$1:$4</definedName>
    <definedName name="Regular" localSheetId="4">#REF!</definedName>
    <definedName name="Regular">#REF!</definedName>
    <definedName name="Regular_Nonresident_Data" localSheetId="4">#REF!</definedName>
    <definedName name="Regular_Nonresident_Data">#REF!</definedName>
    <definedName name="Regular_Resident_Data" localSheetId="4">#REF!</definedName>
    <definedName name="Regular_Resident_Data">#REF!</definedName>
    <definedName name="ResType2">#REF!</definedName>
    <definedName name="Revised_FTES">#REF!</definedName>
    <definedName name="Table_28_AY_Lim_NonRes">#REF!</definedName>
    <definedName name="Table_28_AY_Lim_Resident">#REF!</definedName>
    <definedName name="Table_28_AY_Reg_NonRes">#REF!</definedName>
    <definedName name="Table_28_AY_Reg_Resident">#REF!</definedName>
    <definedName name="Table_28_Lim_AY">#REF!</definedName>
    <definedName name="Table_28_Reg_AY">#REF!</definedName>
    <definedName name="Table_32_Limited_Non_Resident">#REF!</definedName>
    <definedName name="Table_32_Limited_Resident">#REF!</definedName>
    <definedName name="Table_32_Regular_Non_resident">#REF!</definedName>
    <definedName name="Table_32_Regular_Resident">#REF!</definedName>
    <definedName name="Table_32_Sum_Only_Limited">#REF!</definedName>
    <definedName name="Table_32_Sum_Only_Regular">#REF!</definedName>
    <definedName name="Table_7_All">#REF!</definedName>
    <definedName name="Table_7_Non_Resident_Only">#REF!</definedName>
    <definedName name="Table_7_Resident_Only">#REF!</definedName>
  </definedNames>
  <calcPr calcId="145621"/>
</workbook>
</file>

<file path=xl/calcChain.xml><?xml version="1.0" encoding="utf-8"?>
<calcChain xmlns="http://schemas.openxmlformats.org/spreadsheetml/2006/main">
  <c r="N37" i="54" l="1"/>
  <c r="AT38" i="3" l="1"/>
  <c r="R3" i="54"/>
  <c r="P9" i="54" l="1"/>
  <c r="P10" i="54"/>
  <c r="P11" i="54"/>
  <c r="P12" i="54"/>
  <c r="P13" i="54"/>
  <c r="P14" i="54"/>
  <c r="P15" i="54"/>
  <c r="P16" i="54"/>
  <c r="P17" i="54"/>
  <c r="P18" i="54"/>
  <c r="P19" i="54"/>
  <c r="P20" i="54"/>
  <c r="P21" i="54"/>
  <c r="P22" i="54"/>
  <c r="P23" i="54"/>
  <c r="P24" i="54"/>
  <c r="P25" i="54"/>
  <c r="P26" i="54"/>
  <c r="P27" i="54"/>
  <c r="P28" i="54"/>
  <c r="P29" i="54"/>
  <c r="P8" i="54"/>
  <c r="P7" i="54"/>
  <c r="B9" i="54"/>
  <c r="B10" i="54"/>
  <c r="B11" i="54"/>
  <c r="B12" i="54"/>
  <c r="B13" i="54"/>
  <c r="B14" i="54"/>
  <c r="B15" i="54"/>
  <c r="B16" i="54"/>
  <c r="B17" i="54"/>
  <c r="B18" i="54"/>
  <c r="B19" i="54"/>
  <c r="B20" i="54"/>
  <c r="B21" i="54"/>
  <c r="B22" i="54"/>
  <c r="B23" i="54"/>
  <c r="B24" i="54"/>
  <c r="B25" i="54"/>
  <c r="B26" i="54"/>
  <c r="B27" i="54"/>
  <c r="B28" i="54"/>
  <c r="B29" i="54"/>
  <c r="B8" i="54"/>
  <c r="B7" i="54"/>
  <c r="R28" i="54" l="1"/>
  <c r="R20" i="54"/>
  <c r="R12" i="54"/>
  <c r="R24" i="54"/>
  <c r="R16" i="54"/>
  <c r="R27" i="54"/>
  <c r="R19" i="54"/>
  <c r="R11" i="54"/>
  <c r="R8" i="54"/>
  <c r="R26" i="54"/>
  <c r="R22" i="54"/>
  <c r="R18" i="54"/>
  <c r="R10" i="54"/>
  <c r="R29" i="54"/>
  <c r="R25" i="54"/>
  <c r="R21" i="54"/>
  <c r="R17" i="54"/>
  <c r="R13" i="54"/>
  <c r="R9" i="54"/>
  <c r="R7" i="54"/>
  <c r="R23" i="54"/>
  <c r="R15" i="54"/>
  <c r="R14" i="54"/>
  <c r="X34" i="3"/>
  <c r="X38" i="3"/>
  <c r="AD38" i="3"/>
  <c r="AD34" i="3"/>
  <c r="N9" i="52" l="1"/>
  <c r="E13" i="52"/>
  <c r="E9" i="52"/>
  <c r="AD39" i="3" l="1"/>
  <c r="C39" i="3" l="1"/>
  <c r="I39" i="3" s="1"/>
  <c r="C39" i="4"/>
  <c r="F38" i="4" l="1"/>
  <c r="E20" i="4"/>
  <c r="F20" i="4"/>
  <c r="T38" i="3" l="1"/>
  <c r="P38" i="3"/>
  <c r="N31" i="54"/>
  <c r="K31" i="54"/>
  <c r="AD32" i="3"/>
  <c r="K40" i="54" l="1"/>
  <c r="AD41" i="3"/>
  <c r="N40" i="54"/>
  <c r="X3" i="3"/>
  <c r="T3" i="3"/>
  <c r="P3" i="3"/>
  <c r="T32" i="3"/>
  <c r="T41" i="3" s="1"/>
  <c r="P32" i="3"/>
  <c r="P41" i="3" l="1"/>
  <c r="L38" i="3" l="1"/>
  <c r="G36" i="54"/>
  <c r="G35" i="54"/>
  <c r="G34" i="54"/>
  <c r="G33" i="54"/>
  <c r="G31" i="54"/>
  <c r="G40" i="54" l="1"/>
  <c r="D31" i="54"/>
  <c r="D40" i="54" l="1"/>
  <c r="X10" i="3" l="1"/>
  <c r="G33" i="52" l="1"/>
  <c r="G42" i="52" s="1"/>
  <c r="N36" i="52"/>
  <c r="Q36" i="52" s="1"/>
  <c r="N37" i="52"/>
  <c r="Q37" i="52" s="1"/>
  <c r="N38" i="52"/>
  <c r="Q38" i="52" s="1"/>
  <c r="N11" i="52"/>
  <c r="Q11" i="52" s="1"/>
  <c r="N12" i="52"/>
  <c r="Q12" i="52" s="1"/>
  <c r="N13" i="52"/>
  <c r="Q13" i="52" s="1"/>
  <c r="N14" i="52"/>
  <c r="Q14" i="52" s="1"/>
  <c r="N15" i="52"/>
  <c r="Q15" i="52" s="1"/>
  <c r="N16" i="52"/>
  <c r="Q16" i="52" s="1"/>
  <c r="N17" i="52"/>
  <c r="Q17" i="52" s="1"/>
  <c r="N18" i="52"/>
  <c r="Q18" i="52" s="1"/>
  <c r="N19" i="52"/>
  <c r="Q19" i="52" s="1"/>
  <c r="N20" i="52"/>
  <c r="Q20" i="52" s="1"/>
  <c r="N21" i="52"/>
  <c r="Q21" i="52" s="1"/>
  <c r="N22" i="52"/>
  <c r="Q22" i="52" s="1"/>
  <c r="N23" i="52"/>
  <c r="Q23" i="52" s="1"/>
  <c r="N24" i="52"/>
  <c r="Q24" i="52" s="1"/>
  <c r="N25" i="52"/>
  <c r="Q25" i="52" s="1"/>
  <c r="N26" i="52"/>
  <c r="Q26" i="52" s="1"/>
  <c r="N27" i="52"/>
  <c r="Q27" i="52" s="1"/>
  <c r="N28" i="52"/>
  <c r="Q28" i="52" s="1"/>
  <c r="N29" i="52"/>
  <c r="Q29" i="52" s="1"/>
  <c r="N30" i="52"/>
  <c r="Q30" i="52" s="1"/>
  <c r="N31" i="52"/>
  <c r="Q31" i="52" s="1"/>
  <c r="N10" i="52"/>
  <c r="Q10" i="52" s="1"/>
  <c r="AK8" i="3"/>
  <c r="AN8" i="3" s="1"/>
  <c r="I33" i="52"/>
  <c r="I42" i="52" s="1"/>
  <c r="H33" i="52"/>
  <c r="H42" i="52" s="1"/>
  <c r="AK9" i="3" l="1"/>
  <c r="AN9" i="3" s="1"/>
  <c r="Q9" i="52"/>
  <c r="N40" i="4"/>
  <c r="AA32" i="3" l="1"/>
  <c r="AA38" i="3" s="1"/>
  <c r="X29" i="3"/>
  <c r="X27" i="3"/>
  <c r="X26" i="3"/>
  <c r="X25" i="3"/>
  <c r="X24" i="3"/>
  <c r="X23" i="3"/>
  <c r="X22" i="3"/>
  <c r="X21" i="3"/>
  <c r="X20" i="3"/>
  <c r="X17" i="3"/>
  <c r="X16" i="3"/>
  <c r="X14" i="3"/>
  <c r="X13" i="3"/>
  <c r="X12" i="3"/>
  <c r="C33" i="52" l="1"/>
  <c r="C42" i="52" s="1"/>
  <c r="E10" i="52"/>
  <c r="E11" i="52"/>
  <c r="E12" i="52"/>
  <c r="E14" i="52"/>
  <c r="E15" i="52"/>
  <c r="E16" i="52"/>
  <c r="E17" i="52"/>
  <c r="E18" i="52"/>
  <c r="E19" i="52"/>
  <c r="E20" i="52"/>
  <c r="E21" i="52"/>
  <c r="E22" i="52"/>
  <c r="E23" i="52"/>
  <c r="E24" i="52"/>
  <c r="E25" i="52"/>
  <c r="E26" i="52"/>
  <c r="E27" i="52"/>
  <c r="E28" i="52"/>
  <c r="E29" i="52"/>
  <c r="E30" i="52"/>
  <c r="E31" i="52"/>
  <c r="E33" i="52" l="1"/>
  <c r="E39" i="52"/>
  <c r="E35" i="52"/>
  <c r="E42" i="52"/>
  <c r="B34" i="54" l="1"/>
  <c r="R34" i="54" s="1"/>
  <c r="B35" i="54"/>
  <c r="R35" i="54" s="1"/>
  <c r="B36" i="54"/>
  <c r="R36" i="54" s="1"/>
  <c r="D39" i="52"/>
  <c r="D35" i="52"/>
  <c r="N35" i="52" l="1"/>
  <c r="Q35" i="52" s="1"/>
  <c r="B33" i="54"/>
  <c r="N39" i="52"/>
  <c r="Q39" i="52" s="1"/>
  <c r="B37" i="54"/>
  <c r="AK39" i="3"/>
  <c r="AN39" i="3" s="1"/>
  <c r="AQ39" i="3" l="1"/>
  <c r="AW39" i="3" s="1"/>
  <c r="I40" i="4"/>
  <c r="AA41" i="3"/>
  <c r="I16" i="55"/>
  <c r="F9" i="55"/>
  <c r="F10" i="55"/>
  <c r="F13" i="55"/>
  <c r="F14" i="55"/>
  <c r="F17" i="55"/>
  <c r="F18" i="55"/>
  <c r="F21" i="55"/>
  <c r="F22" i="55"/>
  <c r="F25" i="55"/>
  <c r="F26" i="55"/>
  <c r="F29" i="55"/>
  <c r="F30" i="55"/>
  <c r="C32" i="55"/>
  <c r="D8" i="55" s="1"/>
  <c r="E32" i="55"/>
  <c r="F11" i="55" s="1"/>
  <c r="G32" i="55"/>
  <c r="H9" i="55" s="1"/>
  <c r="J9" i="55" s="1"/>
  <c r="I9" i="55" s="1"/>
  <c r="L9" i="55" s="1"/>
  <c r="F28" i="55" l="1"/>
  <c r="F24" i="55"/>
  <c r="F20" i="55"/>
  <c r="F16" i="55"/>
  <c r="F12" i="55"/>
  <c r="F8" i="55"/>
  <c r="F32" i="55" s="1"/>
  <c r="F27" i="55"/>
  <c r="F23" i="55"/>
  <c r="F19" i="55"/>
  <c r="F15" i="55"/>
  <c r="H30" i="55"/>
  <c r="J30" i="55" s="1"/>
  <c r="I30" i="55" s="1"/>
  <c r="L30" i="55" s="1"/>
  <c r="D29" i="55"/>
  <c r="H28" i="55"/>
  <c r="J28" i="55" s="1"/>
  <c r="I28" i="55" s="1"/>
  <c r="L28" i="55" s="1"/>
  <c r="D27" i="55"/>
  <c r="H26" i="55"/>
  <c r="J26" i="55" s="1"/>
  <c r="I26" i="55" s="1"/>
  <c r="L26" i="55" s="1"/>
  <c r="D25" i="55"/>
  <c r="H24" i="55"/>
  <c r="J24" i="55" s="1"/>
  <c r="I24" i="55" s="1"/>
  <c r="L24" i="55" s="1"/>
  <c r="D23" i="55"/>
  <c r="H22" i="55"/>
  <c r="J22" i="55" s="1"/>
  <c r="I22" i="55" s="1"/>
  <c r="L22" i="55" s="1"/>
  <c r="D21" i="55"/>
  <c r="H20" i="55"/>
  <c r="J20" i="55" s="1"/>
  <c r="I20" i="55" s="1"/>
  <c r="L20" i="55" s="1"/>
  <c r="D19" i="55"/>
  <c r="H18" i="55"/>
  <c r="J18" i="55" s="1"/>
  <c r="I18" i="55" s="1"/>
  <c r="L18" i="55" s="1"/>
  <c r="D17" i="55"/>
  <c r="H16" i="55"/>
  <c r="J16" i="55" s="1"/>
  <c r="L16" i="55" s="1"/>
  <c r="D15" i="55"/>
  <c r="H14" i="55"/>
  <c r="J14" i="55" s="1"/>
  <c r="I14" i="55" s="1"/>
  <c r="L14" i="55" s="1"/>
  <c r="D13" i="55"/>
  <c r="H12" i="55"/>
  <c r="J12" i="55" s="1"/>
  <c r="I12" i="55" s="1"/>
  <c r="L12" i="55" s="1"/>
  <c r="D11" i="55"/>
  <c r="H10" i="55"/>
  <c r="J10" i="55" s="1"/>
  <c r="I10" i="55" s="1"/>
  <c r="L10" i="55" s="1"/>
  <c r="D9" i="55"/>
  <c r="H8" i="55"/>
  <c r="D30" i="55"/>
  <c r="H29" i="55"/>
  <c r="J29" i="55" s="1"/>
  <c r="I29" i="55" s="1"/>
  <c r="L29" i="55" s="1"/>
  <c r="D28" i="55"/>
  <c r="H27" i="55"/>
  <c r="J27" i="55" s="1"/>
  <c r="I27" i="55" s="1"/>
  <c r="L27" i="55" s="1"/>
  <c r="D26" i="55"/>
  <c r="H25" i="55"/>
  <c r="J25" i="55" s="1"/>
  <c r="I25" i="55" s="1"/>
  <c r="L25" i="55" s="1"/>
  <c r="D24" i="55"/>
  <c r="H23" i="55"/>
  <c r="J23" i="55" s="1"/>
  <c r="I23" i="55" s="1"/>
  <c r="L23" i="55" s="1"/>
  <c r="D22" i="55"/>
  <c r="H21" i="55"/>
  <c r="J21" i="55" s="1"/>
  <c r="I21" i="55" s="1"/>
  <c r="L21" i="55" s="1"/>
  <c r="D20" i="55"/>
  <c r="H19" i="55"/>
  <c r="J19" i="55" s="1"/>
  <c r="I19" i="55" s="1"/>
  <c r="L19" i="55" s="1"/>
  <c r="D18" i="55"/>
  <c r="H17" i="55"/>
  <c r="J17" i="55" s="1"/>
  <c r="I17" i="55" s="1"/>
  <c r="L17" i="55" s="1"/>
  <c r="D16" i="55"/>
  <c r="H15" i="55"/>
  <c r="J15" i="55" s="1"/>
  <c r="I15" i="55" s="1"/>
  <c r="L15" i="55" s="1"/>
  <c r="D14" i="55"/>
  <c r="H13" i="55"/>
  <c r="J13" i="55" s="1"/>
  <c r="I13" i="55" s="1"/>
  <c r="L13" i="55" s="1"/>
  <c r="D12" i="55"/>
  <c r="H11" i="55"/>
  <c r="J11" i="55" s="1"/>
  <c r="I11" i="55" s="1"/>
  <c r="L11" i="55" s="1"/>
  <c r="D10" i="55"/>
  <c r="D32" i="55" s="1"/>
  <c r="J8" i="55" l="1"/>
  <c r="H32" i="55"/>
  <c r="J32" i="55" l="1"/>
  <c r="I8" i="55"/>
  <c r="J9" i="52"/>
  <c r="J10" i="52"/>
  <c r="J11" i="52"/>
  <c r="J12" i="52"/>
  <c r="J13" i="52"/>
  <c r="J14" i="52"/>
  <c r="J15" i="52"/>
  <c r="J16" i="52"/>
  <c r="J17" i="52"/>
  <c r="J18" i="52"/>
  <c r="J19" i="52"/>
  <c r="J20" i="52"/>
  <c r="J21" i="52"/>
  <c r="J22" i="52"/>
  <c r="J23" i="52"/>
  <c r="J24" i="52"/>
  <c r="J25" i="52"/>
  <c r="J26" i="52"/>
  <c r="J27" i="52"/>
  <c r="J28" i="52"/>
  <c r="J29" i="52"/>
  <c r="J30" i="52"/>
  <c r="J31" i="52"/>
  <c r="T10" i="52" l="1"/>
  <c r="T30" i="52"/>
  <c r="N30" i="4"/>
  <c r="T22" i="52"/>
  <c r="N22" i="4"/>
  <c r="N10" i="4"/>
  <c r="T29" i="52"/>
  <c r="N29" i="4"/>
  <c r="N25" i="4"/>
  <c r="T25" i="52"/>
  <c r="N21" i="4"/>
  <c r="T21" i="52"/>
  <c r="N17" i="4"/>
  <c r="T17" i="52"/>
  <c r="N13" i="4"/>
  <c r="T13" i="52"/>
  <c r="N9" i="4"/>
  <c r="T9" i="52"/>
  <c r="T26" i="52"/>
  <c r="N26" i="4"/>
  <c r="T18" i="52"/>
  <c r="N18" i="4"/>
  <c r="T14" i="52"/>
  <c r="N14" i="4"/>
  <c r="T28" i="52"/>
  <c r="N28" i="4"/>
  <c r="T24" i="52"/>
  <c r="N24" i="4"/>
  <c r="N20" i="4"/>
  <c r="T20" i="52"/>
  <c r="T16" i="52"/>
  <c r="N16" i="4"/>
  <c r="T12" i="52"/>
  <c r="N12" i="4"/>
  <c r="T31" i="52"/>
  <c r="N31" i="4"/>
  <c r="T27" i="52"/>
  <c r="N27" i="4"/>
  <c r="T23" i="52"/>
  <c r="N23" i="4"/>
  <c r="T19" i="52"/>
  <c r="N19" i="4"/>
  <c r="T15" i="52"/>
  <c r="N15" i="4"/>
  <c r="T11" i="52"/>
  <c r="N11" i="4"/>
  <c r="I32" i="55"/>
  <c r="L8" i="55"/>
  <c r="L32" i="55" s="1"/>
  <c r="P31" i="54" l="1"/>
  <c r="L32" i="3"/>
  <c r="L41" i="3" s="1"/>
  <c r="R40" i="4"/>
  <c r="V40" i="4" s="1"/>
  <c r="K40" i="4"/>
  <c r="G40" i="4"/>
  <c r="S40" i="4"/>
  <c r="P40" i="4" l="1"/>
  <c r="T40" i="4" l="1"/>
  <c r="W40" i="4"/>
  <c r="J35" i="52" l="1"/>
  <c r="P33" i="54" s="1"/>
  <c r="R33" i="54" s="1"/>
  <c r="J39" i="52"/>
  <c r="P37" i="54" s="1"/>
  <c r="R37" i="54" s="1"/>
  <c r="J38" i="52"/>
  <c r="J37" i="52"/>
  <c r="J36" i="52"/>
  <c r="B33" i="52"/>
  <c r="B42" i="52" s="1"/>
  <c r="T38" i="52" l="1"/>
  <c r="P40" i="54"/>
  <c r="N36" i="4"/>
  <c r="N35" i="4"/>
  <c r="N37" i="4"/>
  <c r="N38" i="4"/>
  <c r="N39" i="4"/>
  <c r="AK10" i="3"/>
  <c r="AN10" i="3" s="1"/>
  <c r="J33" i="52"/>
  <c r="J42" i="52" s="1"/>
  <c r="D33" i="52"/>
  <c r="D42" i="52" s="1"/>
  <c r="AK18" i="3" l="1"/>
  <c r="AN18" i="3" s="1"/>
  <c r="AK26" i="3"/>
  <c r="AN26" i="3" s="1"/>
  <c r="AK35" i="3"/>
  <c r="AN35" i="3" s="1"/>
  <c r="I36" i="4" s="1"/>
  <c r="T36" i="52"/>
  <c r="AK21" i="3"/>
  <c r="AN21" i="3" s="1"/>
  <c r="AK37" i="3"/>
  <c r="AN37" i="3" s="1"/>
  <c r="I38" i="4" s="1"/>
  <c r="AK15" i="3"/>
  <c r="AN15" i="3" s="1"/>
  <c r="AK23" i="3"/>
  <c r="AN23" i="3" s="1"/>
  <c r="AK38" i="3"/>
  <c r="AN38" i="3" s="1"/>
  <c r="I39" i="4" s="1"/>
  <c r="AK16" i="3"/>
  <c r="AN16" i="3" s="1"/>
  <c r="AK24" i="3"/>
  <c r="AN24" i="3" s="1"/>
  <c r="AK34" i="3"/>
  <c r="AN34" i="3" s="1"/>
  <c r="AK29" i="3"/>
  <c r="AN29" i="3" s="1"/>
  <c r="AK14" i="3"/>
  <c r="AN14" i="3" s="1"/>
  <c r="AK22" i="3"/>
  <c r="AN22" i="3" s="1"/>
  <c r="AK30" i="3"/>
  <c r="AN30" i="3" s="1"/>
  <c r="AK13" i="3"/>
  <c r="AN13" i="3" s="1"/>
  <c r="AK25" i="3"/>
  <c r="AN25" i="3" s="1"/>
  <c r="AK11" i="3"/>
  <c r="AN11" i="3" s="1"/>
  <c r="AK19" i="3"/>
  <c r="AN19" i="3" s="1"/>
  <c r="AK27" i="3"/>
  <c r="AN27" i="3" s="1"/>
  <c r="AK36" i="3"/>
  <c r="AN36" i="3" s="1"/>
  <c r="I37" i="4" s="1"/>
  <c r="T37" i="52"/>
  <c r="AK12" i="3"/>
  <c r="AN12" i="3" s="1"/>
  <c r="AK20" i="3"/>
  <c r="AN20" i="3" s="1"/>
  <c r="AK28" i="3"/>
  <c r="AN28" i="3" s="1"/>
  <c r="AK17" i="3"/>
  <c r="AN17" i="3" s="1"/>
  <c r="B31" i="54"/>
  <c r="B40" i="54" s="1"/>
  <c r="K38" i="4" l="1"/>
  <c r="K37" i="4"/>
  <c r="T35" i="52"/>
  <c r="T39" i="52"/>
  <c r="Q33" i="52"/>
  <c r="Q42" i="52" s="1"/>
  <c r="AK32" i="3"/>
  <c r="AK41" i="3" s="1"/>
  <c r="C33" i="4"/>
  <c r="C42" i="4" s="1"/>
  <c r="K36" i="4" l="1"/>
  <c r="F33" i="52" l="1"/>
  <c r="F42" i="52" s="1"/>
  <c r="G36" i="4" l="1"/>
  <c r="G37" i="4"/>
  <c r="G38" i="4"/>
  <c r="G39" i="4"/>
  <c r="G35" i="4"/>
  <c r="G11" i="4"/>
  <c r="G12" i="4"/>
  <c r="G13" i="4"/>
  <c r="G14" i="4"/>
  <c r="G15" i="4"/>
  <c r="G16" i="4"/>
  <c r="G17" i="4"/>
  <c r="G18" i="4"/>
  <c r="G19" i="4"/>
  <c r="G20" i="4"/>
  <c r="G21" i="4"/>
  <c r="G22" i="4"/>
  <c r="G23" i="4"/>
  <c r="G24" i="4"/>
  <c r="G25" i="4"/>
  <c r="G26" i="4"/>
  <c r="G27" i="4"/>
  <c r="G28" i="4"/>
  <c r="G29" i="4"/>
  <c r="G30" i="4"/>
  <c r="G31" i="4"/>
  <c r="G10" i="4"/>
  <c r="G9" i="4"/>
  <c r="C35" i="3" l="1"/>
  <c r="I35" i="3" s="1"/>
  <c r="C36" i="3"/>
  <c r="I36" i="3" s="1"/>
  <c r="C37" i="3"/>
  <c r="I37" i="3" s="1"/>
  <c r="C38" i="3"/>
  <c r="S36" i="4"/>
  <c r="S37" i="4"/>
  <c r="S38" i="4"/>
  <c r="S39" i="4"/>
  <c r="I38" i="3" l="1"/>
  <c r="AQ38" i="3"/>
  <c r="AQ35" i="3"/>
  <c r="AQ36" i="3"/>
  <c r="AQ37" i="3"/>
  <c r="AW37" i="3" s="1"/>
  <c r="AW36" i="3" l="1"/>
  <c r="AW35" i="3"/>
  <c r="AW38" i="3"/>
  <c r="P36" i="4"/>
  <c r="P37" i="4"/>
  <c r="P38" i="4"/>
  <c r="X32" i="3" l="1"/>
  <c r="X41" i="3" s="1"/>
  <c r="C8" i="3" l="1"/>
  <c r="AQ8" i="3" s="1"/>
  <c r="I8" i="3" l="1"/>
  <c r="S35" i="4"/>
  <c r="S11" i="4"/>
  <c r="S12" i="4"/>
  <c r="S13" i="4"/>
  <c r="S14" i="4"/>
  <c r="S15" i="4"/>
  <c r="S16" i="4"/>
  <c r="S17" i="4"/>
  <c r="S18" i="4"/>
  <c r="S19" i="4"/>
  <c r="S20" i="4"/>
  <c r="S21" i="4"/>
  <c r="S22" i="4"/>
  <c r="S23" i="4"/>
  <c r="S24" i="4"/>
  <c r="S25" i="4"/>
  <c r="S26" i="4"/>
  <c r="S27" i="4"/>
  <c r="S28" i="4"/>
  <c r="S29" i="4"/>
  <c r="S30" i="4"/>
  <c r="S31" i="4"/>
  <c r="S10" i="4"/>
  <c r="S9" i="4"/>
  <c r="S33" i="4" l="1"/>
  <c r="S42" i="4" s="1"/>
  <c r="F32" i="3" l="1"/>
  <c r="F41" i="3" s="1"/>
  <c r="R37" i="4" l="1"/>
  <c r="V37" i="4" s="1"/>
  <c r="R36" i="4"/>
  <c r="V36" i="4" s="1"/>
  <c r="R39" i="4"/>
  <c r="V39" i="4" s="1"/>
  <c r="R35" i="4"/>
  <c r="V35" i="4" s="1"/>
  <c r="R11" i="4"/>
  <c r="V11" i="4" s="1"/>
  <c r="R12" i="4"/>
  <c r="V12" i="4" s="1"/>
  <c r="R14" i="4"/>
  <c r="V14" i="4" s="1"/>
  <c r="R15" i="4"/>
  <c r="V15" i="4" s="1"/>
  <c r="R16" i="4"/>
  <c r="V16" i="4" s="1"/>
  <c r="R17" i="4"/>
  <c r="V17" i="4" s="1"/>
  <c r="R18" i="4"/>
  <c r="V18" i="4" s="1"/>
  <c r="R19" i="4"/>
  <c r="V19" i="4" s="1"/>
  <c r="R20" i="4"/>
  <c r="V20" i="4" s="1"/>
  <c r="R21" i="4"/>
  <c r="V21" i="4" s="1"/>
  <c r="R22" i="4"/>
  <c r="V22" i="4" s="1"/>
  <c r="R23" i="4"/>
  <c r="V23" i="4" s="1"/>
  <c r="R24" i="4"/>
  <c r="V24" i="4" s="1"/>
  <c r="R25" i="4"/>
  <c r="V25" i="4" s="1"/>
  <c r="R26" i="4"/>
  <c r="V26" i="4" s="1"/>
  <c r="R27" i="4"/>
  <c r="V27" i="4" s="1"/>
  <c r="R28" i="4"/>
  <c r="V28" i="4" s="1"/>
  <c r="R29" i="4"/>
  <c r="V29" i="4" s="1"/>
  <c r="R30" i="4"/>
  <c r="V30" i="4" s="1"/>
  <c r="R31" i="4"/>
  <c r="V31" i="4" s="1"/>
  <c r="R9" i="4"/>
  <c r="V9" i="4" s="1"/>
  <c r="R13" i="4" l="1"/>
  <c r="V13" i="4" s="1"/>
  <c r="R10" i="4"/>
  <c r="V10" i="4" s="1"/>
  <c r="R38" i="4"/>
  <c r="V38" i="4" s="1"/>
  <c r="W38" i="4" s="1"/>
  <c r="L33" i="52"/>
  <c r="L42" i="52" s="1"/>
  <c r="V33" i="4" l="1"/>
  <c r="V42" i="4" s="1"/>
  <c r="T38" i="4"/>
  <c r="R33" i="4"/>
  <c r="R42" i="4" s="1"/>
  <c r="T36" i="4" l="1"/>
  <c r="W36" i="4"/>
  <c r="N33" i="52"/>
  <c r="N42" i="52" s="1"/>
  <c r="T37" i="4" l="1"/>
  <c r="W37" i="4"/>
  <c r="T33" i="52"/>
  <c r="T42" i="52" s="1"/>
  <c r="C34" i="3" l="1"/>
  <c r="C10" i="3"/>
  <c r="I10" i="3" s="1"/>
  <c r="C11" i="3"/>
  <c r="I11" i="3" s="1"/>
  <c r="C12" i="3"/>
  <c r="I12" i="3" s="1"/>
  <c r="C13" i="3"/>
  <c r="I13" i="3" s="1"/>
  <c r="C14" i="3"/>
  <c r="I14" i="3" s="1"/>
  <c r="C15" i="3"/>
  <c r="I15" i="3" s="1"/>
  <c r="C16" i="3"/>
  <c r="I16" i="3" s="1"/>
  <c r="C17" i="3"/>
  <c r="I17" i="3" s="1"/>
  <c r="C18" i="3"/>
  <c r="I18" i="3" s="1"/>
  <c r="C19" i="3"/>
  <c r="I19" i="3" s="1"/>
  <c r="C20" i="3"/>
  <c r="I20" i="3" s="1"/>
  <c r="C21" i="3"/>
  <c r="I21" i="3" s="1"/>
  <c r="C22" i="3"/>
  <c r="I22" i="3" s="1"/>
  <c r="C23" i="3"/>
  <c r="I23" i="3" s="1"/>
  <c r="C24" i="3"/>
  <c r="I24" i="3" s="1"/>
  <c r="C25" i="3"/>
  <c r="I25" i="3" s="1"/>
  <c r="C26" i="3"/>
  <c r="I26" i="3" s="1"/>
  <c r="C27" i="3"/>
  <c r="I27" i="3" s="1"/>
  <c r="C28" i="3"/>
  <c r="I28" i="3" s="1"/>
  <c r="C29" i="3"/>
  <c r="I29" i="3" s="1"/>
  <c r="C30" i="3"/>
  <c r="I30" i="3" s="1"/>
  <c r="C9" i="3"/>
  <c r="I9" i="3" l="1"/>
  <c r="AQ9" i="3"/>
  <c r="AQ34" i="3"/>
  <c r="I34" i="3"/>
  <c r="AQ28" i="3"/>
  <c r="AQ24" i="3"/>
  <c r="AQ20" i="3"/>
  <c r="AQ16" i="3"/>
  <c r="AQ12" i="3"/>
  <c r="AQ19" i="3"/>
  <c r="AQ15" i="3"/>
  <c r="AQ11" i="3"/>
  <c r="AQ27" i="3"/>
  <c r="AQ23" i="3"/>
  <c r="AQ30" i="3"/>
  <c r="AQ26" i="3"/>
  <c r="AQ22" i="3"/>
  <c r="AQ18" i="3"/>
  <c r="AQ14" i="3"/>
  <c r="AQ10" i="3"/>
  <c r="AQ29" i="3"/>
  <c r="AQ25" i="3"/>
  <c r="AQ21" i="3"/>
  <c r="AQ17" i="3"/>
  <c r="AQ13" i="3"/>
  <c r="F33" i="4"/>
  <c r="F42" i="4" s="1"/>
  <c r="E33" i="4"/>
  <c r="E42" i="4" s="1"/>
  <c r="AG32" i="3" l="1"/>
  <c r="AG41" i="3" s="1"/>
  <c r="C3" i="3"/>
  <c r="AN32" i="3" l="1"/>
  <c r="AN41" i="3" s="1"/>
  <c r="G33" i="4"/>
  <c r="G42" i="4" s="1"/>
  <c r="N33" i="4" l="1"/>
  <c r="N42" i="4" s="1"/>
  <c r="K39" i="4" l="1"/>
  <c r="P39" i="4" s="1"/>
  <c r="C32" i="3"/>
  <c r="C41" i="3" s="1"/>
  <c r="T39" i="4" l="1"/>
  <c r="W39" i="4"/>
  <c r="I32" i="3"/>
  <c r="I41" i="3" s="1"/>
  <c r="AQ32" i="3" l="1"/>
  <c r="AT8" i="3" l="1"/>
  <c r="AT14" i="3"/>
  <c r="AT34" i="3"/>
  <c r="AT26" i="3"/>
  <c r="AT25" i="3"/>
  <c r="AT13" i="3"/>
  <c r="AT22" i="3"/>
  <c r="AT11" i="3"/>
  <c r="AT15" i="3"/>
  <c r="AT23" i="3"/>
  <c r="AT24" i="3"/>
  <c r="AT12" i="3"/>
  <c r="AT21" i="3"/>
  <c r="AT30" i="3"/>
  <c r="AT17" i="3"/>
  <c r="AT18" i="3"/>
  <c r="AT10" i="3"/>
  <c r="I11" i="4" s="1"/>
  <c r="AT20" i="3"/>
  <c r="AT16" i="3"/>
  <c r="AT19" i="3"/>
  <c r="AT9" i="3"/>
  <c r="AT29" i="3"/>
  <c r="AT27" i="3"/>
  <c r="AT28" i="3"/>
  <c r="AQ41" i="3"/>
  <c r="AW19" i="3" l="1"/>
  <c r="I20" i="4"/>
  <c r="AW12" i="3"/>
  <c r="I13" i="4"/>
  <c r="AW11" i="3"/>
  <c r="I12" i="4"/>
  <c r="AW27" i="3"/>
  <c r="I28" i="4"/>
  <c r="AW17" i="3"/>
  <c r="I18" i="4"/>
  <c r="AW24" i="3"/>
  <c r="I25" i="4"/>
  <c r="AW22" i="3"/>
  <c r="I23" i="4"/>
  <c r="AW34" i="3"/>
  <c r="I35" i="4"/>
  <c r="AW29" i="3"/>
  <c r="I30" i="4"/>
  <c r="AW20" i="3"/>
  <c r="I21" i="4"/>
  <c r="AW30" i="3"/>
  <c r="I31" i="4"/>
  <c r="AW23" i="3"/>
  <c r="I24" i="4"/>
  <c r="AW13" i="3"/>
  <c r="I14" i="4"/>
  <c r="AW14" i="3"/>
  <c r="I15" i="4"/>
  <c r="AW28" i="3"/>
  <c r="I29" i="4"/>
  <c r="AW18" i="3"/>
  <c r="I19" i="4"/>
  <c r="AW26" i="3"/>
  <c r="I27" i="4"/>
  <c r="AW16" i="3"/>
  <c r="I17" i="4"/>
  <c r="AW9" i="3"/>
  <c r="I10" i="4"/>
  <c r="AW21" i="3"/>
  <c r="I22" i="4"/>
  <c r="AW15" i="3"/>
  <c r="I16" i="4"/>
  <c r="AW25" i="3"/>
  <c r="I26" i="4"/>
  <c r="AW8" i="3"/>
  <c r="I9" i="4"/>
  <c r="AT32" i="3"/>
  <c r="AT41" i="3" s="1"/>
  <c r="AW10" i="3"/>
  <c r="AW32" i="3" s="1"/>
  <c r="AW41" i="3" s="1"/>
  <c r="I33" i="4" l="1"/>
  <c r="I42" i="4" s="1"/>
  <c r="K28" i="4"/>
  <c r="P28" i="4" s="1"/>
  <c r="K10" i="4"/>
  <c r="P10" i="4" s="1"/>
  <c r="K31" i="4"/>
  <c r="P31" i="4" s="1"/>
  <c r="K30" i="4"/>
  <c r="P30" i="4" s="1"/>
  <c r="K18" i="4"/>
  <c r="P18" i="4" s="1"/>
  <c r="K17" i="4"/>
  <c r="P17" i="4" s="1"/>
  <c r="K26" i="4"/>
  <c r="P26" i="4" s="1"/>
  <c r="K23" i="4"/>
  <c r="P23" i="4" s="1"/>
  <c r="K14" i="4"/>
  <c r="P14" i="4" s="1"/>
  <c r="K15" i="4"/>
  <c r="P15" i="4" s="1"/>
  <c r="K24" i="4"/>
  <c r="P24" i="4" s="1"/>
  <c r="K21" i="4"/>
  <c r="P21" i="4" s="1"/>
  <c r="K22" i="4"/>
  <c r="P22" i="4" s="1"/>
  <c r="K12" i="4"/>
  <c r="P12" i="4" s="1"/>
  <c r="K19" i="4"/>
  <c r="P19" i="4" s="1"/>
  <c r="K29" i="4"/>
  <c r="P29" i="4" s="1"/>
  <c r="K27" i="4"/>
  <c r="P27" i="4" s="1"/>
  <c r="K25" i="4"/>
  <c r="P25" i="4" s="1"/>
  <c r="K16" i="4"/>
  <c r="P16" i="4" s="1"/>
  <c r="K35" i="4"/>
  <c r="P35" i="4" s="1"/>
  <c r="K13" i="4"/>
  <c r="P13" i="4" s="1"/>
  <c r="K11" i="4"/>
  <c r="P11" i="4" s="1"/>
  <c r="K20" i="4"/>
  <c r="P20" i="4" s="1"/>
  <c r="W13" i="4" l="1"/>
  <c r="T13" i="4"/>
  <c r="R31" i="54"/>
  <c r="R40" i="54" s="1"/>
  <c r="T25" i="4"/>
  <c r="W25" i="4"/>
  <c r="T29" i="4"/>
  <c r="W29" i="4"/>
  <c r="W12" i="4"/>
  <c r="T12" i="4"/>
  <c r="W21" i="4"/>
  <c r="T21" i="4"/>
  <c r="W15" i="4"/>
  <c r="T15" i="4"/>
  <c r="T23" i="4"/>
  <c r="W23" i="4"/>
  <c r="W17" i="4"/>
  <c r="T17" i="4"/>
  <c r="T30" i="4"/>
  <c r="W30" i="4"/>
  <c r="W10" i="4"/>
  <c r="T10" i="4"/>
  <c r="T20" i="4"/>
  <c r="W20" i="4"/>
  <c r="W11" i="4"/>
  <c r="T11" i="4"/>
  <c r="W35" i="4"/>
  <c r="T35" i="4"/>
  <c r="T16" i="4"/>
  <c r="W16" i="4"/>
  <c r="T27" i="4"/>
  <c r="W27" i="4"/>
  <c r="W19" i="4"/>
  <c r="T19" i="4"/>
  <c r="T22" i="4"/>
  <c r="W22" i="4"/>
  <c r="T24" i="4"/>
  <c r="W24" i="4"/>
  <c r="T14" i="4"/>
  <c r="W14" i="4"/>
  <c r="W26" i="4"/>
  <c r="T26" i="4"/>
  <c r="W18" i="4"/>
  <c r="T18" i="4"/>
  <c r="W31" i="4"/>
  <c r="T31" i="4"/>
  <c r="T28" i="4"/>
  <c r="W28" i="4"/>
  <c r="K9" i="4"/>
  <c r="P9" i="4" s="1"/>
  <c r="T9" i="4" s="1"/>
  <c r="W9" i="4" l="1"/>
  <c r="W33" i="4" s="1"/>
  <c r="W42" i="4" s="1"/>
  <c r="K33" i="4"/>
  <c r="K42" i="4" s="1"/>
  <c r="T33" i="4"/>
  <c r="T42" i="4" s="1"/>
  <c r="P33" i="4"/>
  <c r="P42" i="4" s="1"/>
</calcChain>
</file>

<file path=xl/sharedStrings.xml><?xml version="1.0" encoding="utf-8"?>
<sst xmlns="http://schemas.openxmlformats.org/spreadsheetml/2006/main" count="287" uniqueCount="178">
  <si>
    <t>Bakersfield</t>
  </si>
  <si>
    <t>Channel Islands</t>
  </si>
  <si>
    <t>Chico</t>
  </si>
  <si>
    <t>Dominguez Hills</t>
  </si>
  <si>
    <t>Fresno</t>
  </si>
  <si>
    <t>Fullerton</t>
  </si>
  <si>
    <t>Humboldt</t>
  </si>
  <si>
    <t>Long Beach</t>
  </si>
  <si>
    <t>Los Angeles</t>
  </si>
  <si>
    <t>Maritime Academy</t>
  </si>
  <si>
    <t>Monterey Bay</t>
  </si>
  <si>
    <t>Northridge</t>
  </si>
  <si>
    <t>Pomona</t>
  </si>
  <si>
    <t>Sacramento</t>
  </si>
  <si>
    <t>San Bernardino</t>
  </si>
  <si>
    <t>San Diego</t>
  </si>
  <si>
    <t>San Francisco</t>
  </si>
  <si>
    <t>San Jose</t>
  </si>
  <si>
    <t>San Luis Obispo</t>
  </si>
  <si>
    <t>San Marcos</t>
  </si>
  <si>
    <t>Sonoma</t>
  </si>
  <si>
    <t>Stanislaus</t>
  </si>
  <si>
    <t>Campus Total</t>
  </si>
  <si>
    <t>Chancellor's Office</t>
  </si>
  <si>
    <t>International Programs</t>
  </si>
  <si>
    <t>Summer Arts</t>
  </si>
  <si>
    <t>Systemwide Provisions</t>
  </si>
  <si>
    <t>CSU System Total</t>
  </si>
  <si>
    <t>East Bay</t>
  </si>
  <si>
    <t>CalStateTeach</t>
  </si>
  <si>
    <t>Campus</t>
  </si>
  <si>
    <t>Unadjusted Other Fee Revenue and Reim.</t>
  </si>
  <si>
    <t>Grand Total</t>
  </si>
  <si>
    <t>$</t>
  </si>
  <si>
    <t>%</t>
  </si>
  <si>
    <t xml:space="preserve">Bakersfield       </t>
  </si>
  <si>
    <t xml:space="preserve">Chico             </t>
  </si>
  <si>
    <t xml:space="preserve">Dominguez Hills   </t>
  </si>
  <si>
    <t xml:space="preserve">Fresno            </t>
  </si>
  <si>
    <t xml:space="preserve">Fullerton         </t>
  </si>
  <si>
    <t xml:space="preserve">Humboldt          </t>
  </si>
  <si>
    <t xml:space="preserve">Long Beach        </t>
  </si>
  <si>
    <t xml:space="preserve">Los Angeles       </t>
  </si>
  <si>
    <t xml:space="preserve">Northridge        </t>
  </si>
  <si>
    <t xml:space="preserve">Pomona            </t>
  </si>
  <si>
    <t xml:space="preserve">Sacramento        </t>
  </si>
  <si>
    <t xml:space="preserve">San Bernardino    </t>
  </si>
  <si>
    <t xml:space="preserve">San Diego         </t>
  </si>
  <si>
    <t xml:space="preserve">San Francisco     </t>
  </si>
  <si>
    <t xml:space="preserve">San Jose          </t>
  </si>
  <si>
    <t xml:space="preserve">San Luis Obispo   </t>
  </si>
  <si>
    <t xml:space="preserve">San Marcos        </t>
  </si>
  <si>
    <t xml:space="preserve">Sonoma            </t>
  </si>
  <si>
    <t xml:space="preserve">Stanislaus        </t>
  </si>
  <si>
    <t>(Cols. 2 - 1)</t>
  </si>
  <si>
    <t>General Fund</t>
  </si>
  <si>
    <t>(6)</t>
  </si>
  <si>
    <t>(7)</t>
  </si>
  <si>
    <t>(8)</t>
  </si>
  <si>
    <t>(11)</t>
  </si>
  <si>
    <r>
      <t xml:space="preserve">General Fund Allocation </t>
    </r>
    <r>
      <rPr>
        <i/>
        <sz val="8"/>
        <rFont val="Times New Roman"/>
        <family val="1"/>
      </rPr>
      <t/>
    </r>
  </si>
  <si>
    <t>Resident</t>
  </si>
  <si>
    <t>Nonresident</t>
  </si>
  <si>
    <t>Tuition Fees</t>
  </si>
  <si>
    <t>(Sum of Cols. 1-3)</t>
  </si>
  <si>
    <t>Campus Reported Gross                              Final Budget</t>
  </si>
  <si>
    <t>(=Col. 3)</t>
  </si>
  <si>
    <t>(9)</t>
  </si>
  <si>
    <t>Enrollment</t>
  </si>
  <si>
    <t>Total</t>
  </si>
  <si>
    <t>Resident Only</t>
  </si>
  <si>
    <t>(10)</t>
  </si>
  <si>
    <t>(Cols. 1 + 2)</t>
  </si>
  <si>
    <r>
      <t xml:space="preserve">Tuition Fee Revenue </t>
    </r>
    <r>
      <rPr>
        <sz val="10"/>
        <color theme="1"/>
        <rFont val="Times New Roman"/>
        <family val="1"/>
      </rPr>
      <t>(</t>
    </r>
    <r>
      <rPr>
        <u/>
        <sz val="10"/>
        <color theme="1"/>
        <rFont val="Times New Roman"/>
        <family val="1"/>
      </rPr>
      <t>before</t>
    </r>
    <r>
      <rPr>
        <sz val="10"/>
        <color theme="1"/>
        <rFont val="Times New Roman"/>
        <family val="1"/>
      </rPr>
      <t xml:space="preserve"> tuition fee discounts)</t>
    </r>
  </si>
  <si>
    <t>(Cols. 1 + 5 + 6)</t>
  </si>
  <si>
    <t>(Cols. 2 + 7)</t>
  </si>
  <si>
    <t>(Sum Cols. 8 - 10)</t>
  </si>
  <si>
    <t>2014/15 Budget Adjustments</t>
  </si>
  <si>
    <t>2014/15 (Gross) Tuition Fee Revenue Adjustments</t>
  </si>
  <si>
    <t>2014/15 NET Tuition Fee Revenue Adjustments</t>
  </si>
  <si>
    <t>2014/15 Gross Tuition Fee Revenue Increase From 2014/15 Enrollment Growth</t>
  </si>
  <si>
    <t>2014/15 Enrollment Growth, Tuition Fee Discount Adjustments</t>
  </si>
  <si>
    <t>2014/15 NET Tuition Fee Revenue Increase From 2014/15 Enrollment Growth</t>
  </si>
  <si>
    <t xml:space="preserve">2014/15 Total NET Tuition Fee Revenue Adjustments </t>
  </si>
  <si>
    <t>Tuition Fee Discounts AY Eligibility Further Adjusted to Reflect Funded Enrollment Targets from 2012/13 to 2014/15</t>
  </si>
  <si>
    <t>Coded Memo B 2013-02 Final Budget Allocations</t>
  </si>
  <si>
    <t>2014/15 Tuition Fee Discount Adjustments</t>
  </si>
  <si>
    <t>2013/14 FIRMS Final Budget Detail</t>
  </si>
  <si>
    <t>Coded Memo B_2013-02 General Fund Allocation</t>
  </si>
  <si>
    <t>2013/14 Coded Memo B_2013-02 General Fund Allocation</t>
  </si>
  <si>
    <t>Revised 2013/14 General Fund Base</t>
  </si>
  <si>
    <t>2013/14 Est. Retirement Adjustment</t>
  </si>
  <si>
    <t>2013/14 FTES Target</t>
  </si>
  <si>
    <t>2014/15 Budget FTES Target</t>
  </si>
  <si>
    <t>2014/15 Budget FTES Growth</t>
  </si>
  <si>
    <t>(12)</t>
  </si>
  <si>
    <t>(13)</t>
  </si>
  <si>
    <t>(Cols. 7 + 8)</t>
  </si>
  <si>
    <t>(Cols. 10 + 11)</t>
  </si>
  <si>
    <t>(Cols. 6 + 9 + 12)</t>
  </si>
  <si>
    <t>Other Adjustments</t>
  </si>
  <si>
    <t>2013/14 Enrollment Adjustments Tuition Fee Revenue</t>
  </si>
  <si>
    <t>(Attach. D, Cols. 6 + 9 + 10)</t>
  </si>
  <si>
    <t>(Col. 9 - Attach. E, Col. 2)</t>
  </si>
  <si>
    <t>Gross 2014/15 CSU Budget Allocation Totals</t>
  </si>
  <si>
    <t>(Cols. 8 + 10 +12)</t>
  </si>
  <si>
    <t>(Attach D, Col. 11 + Attach. E, Col. 3)</t>
  </si>
  <si>
    <r>
      <t>Campus Reported Tuition Fee Revenue</t>
    </r>
    <r>
      <rPr>
        <sz val="10"/>
        <color theme="1"/>
        <rFont val="Times New Roman"/>
        <family val="1"/>
      </rPr>
      <t xml:space="preserve"> </t>
    </r>
    <r>
      <rPr>
        <sz val="9"/>
        <color theme="1"/>
        <rFont val="Times New Roman"/>
        <family val="1"/>
      </rPr>
      <t>(</t>
    </r>
    <r>
      <rPr>
        <u/>
        <sz val="9"/>
        <color theme="1"/>
        <rFont val="Times New Roman"/>
        <family val="1"/>
      </rPr>
      <t>before</t>
    </r>
    <r>
      <rPr>
        <sz val="9"/>
        <color theme="1"/>
        <rFont val="Times New Roman"/>
        <family val="1"/>
      </rPr>
      <t xml:space="preserve"> tuition fee discounts)</t>
    </r>
  </si>
  <si>
    <t>NET 2014/15 CSU Budget Allocation Totals (After Tuition Fee Discounts) - For Information Only</t>
  </si>
  <si>
    <t>2013/14 FTES Target Adjust-ments</t>
  </si>
  <si>
    <t>Health Benefits</t>
  </si>
  <si>
    <t>Tuition Fee Discounts Academic Year (AY) Eligibility Based on 2012/13 Final Database With 2014/15 Tuition Fee Levels</t>
  </si>
  <si>
    <t>2014/15 Final Budget Allocations Tuition Fee Discount Adjustments</t>
  </si>
  <si>
    <t>2013/14 1.34% ($38M) Compensation Increase Pool</t>
  </si>
  <si>
    <t>2013/14 Base Enrollment Adjustments</t>
  </si>
  <si>
    <t>Other Expenditure Adjustments</t>
  </si>
  <si>
    <t>(Cols. 2 + Sum of Cols. 4-11)</t>
  </si>
  <si>
    <t>(Cols. 1 + 12)</t>
  </si>
  <si>
    <t/>
  </si>
  <si>
    <t>Other 2013/14 Full-Year Compensation Cost Adjustments</t>
  </si>
  <si>
    <r>
      <t xml:space="preserve">Tuition Fee Discounts, GF Adjustments based on Campus Relative Student Need </t>
    </r>
    <r>
      <rPr>
        <vertAlign val="superscript"/>
        <sz val="11"/>
        <color theme="1"/>
        <rFont val="Times New Roman"/>
        <family val="1"/>
      </rPr>
      <t>6</t>
    </r>
  </si>
  <si>
    <t>Budget Targets</t>
  </si>
  <si>
    <t>(Attach. C, Col. 7)</t>
  </si>
  <si>
    <r>
      <t xml:space="preserve">2014/15 Non-resident FTES </t>
    </r>
    <r>
      <rPr>
        <vertAlign val="superscript"/>
        <sz val="11"/>
        <rFont val="Times New Roman"/>
        <family val="1"/>
      </rPr>
      <t>1</t>
    </r>
  </si>
  <si>
    <t>GO Bond Debt Service and LRB</t>
  </si>
  <si>
    <t>Other Fee Revenue</t>
  </si>
  <si>
    <r>
      <t>2014/15 Final Budget Allocations Total Tuition Fee Discounts (Foregone Revenue) and GF Grants</t>
    </r>
    <r>
      <rPr>
        <vertAlign val="superscript"/>
        <sz val="10"/>
        <color theme="1"/>
        <rFont val="Times New Roman"/>
        <family val="1"/>
      </rPr>
      <t>1</t>
    </r>
    <r>
      <rPr>
        <sz val="10"/>
        <color theme="1"/>
        <rFont val="Times New Roman"/>
        <family val="1"/>
      </rPr>
      <t xml:space="preserve"> / 100% Distributed Based on Need</t>
    </r>
  </si>
  <si>
    <r>
      <rPr>
        <vertAlign val="superscript"/>
        <sz val="11"/>
        <rFont val="Times New Roman"/>
        <family val="1"/>
      </rPr>
      <t>1</t>
    </r>
    <r>
      <rPr>
        <sz val="11"/>
        <rFont val="Times New Roman"/>
        <family val="1"/>
      </rPr>
      <t xml:space="preserve"> Includes $33.8 million grants funded by General Fund appropriation.</t>
    </r>
  </si>
  <si>
    <r>
      <rPr>
        <vertAlign val="superscript"/>
        <sz val="10"/>
        <color theme="1"/>
        <rFont val="Times New Roman"/>
        <family val="1"/>
      </rPr>
      <t>4</t>
    </r>
    <r>
      <rPr>
        <sz val="10"/>
        <color theme="1"/>
        <rFont val="Times New Roman"/>
        <family val="1"/>
      </rPr>
      <t>2014/15 Final Budget folds $197.2M CSU GO bond debt service from statewide expenditures into the CSU main GF appropriation and $8.5M increase in lease revenue bond debt service.</t>
    </r>
  </si>
  <si>
    <r>
      <rPr>
        <vertAlign val="superscript"/>
        <sz val="10"/>
        <color theme="1"/>
        <rFont val="Times New Roman"/>
        <family val="1"/>
      </rPr>
      <t>5</t>
    </r>
    <r>
      <rPr>
        <sz val="10"/>
        <color theme="1"/>
        <rFont val="Times New Roman"/>
        <family val="1"/>
      </rPr>
      <t xml:space="preserve">The CSU 2014/15 fee revenue interest assessment ($1.804M) from the state represents a $1.179M reduction (return to CSU) from the 2013/14 interest amount assessed ($2.983M). </t>
    </r>
  </si>
  <si>
    <r>
      <rPr>
        <vertAlign val="superscript"/>
        <sz val="10"/>
        <color indexed="8"/>
        <rFont val="Times New Roman"/>
        <family val="1"/>
      </rPr>
      <t>1</t>
    </r>
    <r>
      <rPr>
        <sz val="10"/>
        <color indexed="8"/>
        <rFont val="Times New Roman"/>
        <family val="1"/>
      </rPr>
      <t>The nonresident FTES is equal to the 2012/13 actual FTES.</t>
    </r>
  </si>
  <si>
    <t>Gross Tuition Fee Revenue Adjustments</t>
  </si>
  <si>
    <t>Gross Budget Allocation</t>
  </si>
  <si>
    <t>General Fund Base Adjustments</t>
  </si>
  <si>
    <t>(Sum Cols. 1-3)</t>
  </si>
  <si>
    <t>(Col. 3 * -$1,318 MC Fin. Aid)</t>
  </si>
  <si>
    <r>
      <t xml:space="preserve">2014/15 Tuition Fee Revenue Adjustments                                        Due to Changes in                                          Student Enrollment Patterns </t>
    </r>
    <r>
      <rPr>
        <vertAlign val="superscript"/>
        <sz val="11"/>
        <rFont val="Times New Roman"/>
        <family val="1"/>
      </rPr>
      <t>2</t>
    </r>
  </si>
  <si>
    <r>
      <rPr>
        <vertAlign val="superscript"/>
        <sz val="10"/>
        <color indexed="8"/>
        <rFont val="Times New Roman"/>
        <family val="1"/>
      </rPr>
      <t>2</t>
    </r>
    <r>
      <rPr>
        <sz val="10"/>
        <color indexed="8"/>
        <rFont val="Times New Roman"/>
        <family val="1"/>
      </rPr>
      <t>Represents the change in actual student enrollment patterns from 2011/12 to 2012/13 (past-year actual) including systemwide 1,240 nonresident FTES growth.</t>
    </r>
  </si>
  <si>
    <t>Total Net Tuition Fee Revenue (after tuition fee discounts)</t>
  </si>
  <si>
    <t xml:space="preserve">Net Budget Allocations (Projected Allocations Available) </t>
  </si>
  <si>
    <r>
      <rPr>
        <vertAlign val="superscript"/>
        <sz val="9"/>
        <color theme="1"/>
        <rFont val="Times New Roman"/>
        <family val="1"/>
      </rPr>
      <t>1</t>
    </r>
    <r>
      <rPr>
        <sz val="9"/>
        <color theme="1"/>
        <rFont val="Times New Roman"/>
        <family val="1"/>
      </rPr>
      <t>The 2014/15 Final Budget total (Col. 8) has been increased by $197.2M for CSU general obligation (GO) bond debt service formerly reported in statewide expenditures and moves $99.1M for CSU lease revenue bonds (LRB) debt service to the main CSU GF appropriation item. The GO bond funds were NOT included in the CSU General Fund appropriation prior to 2014/15.</t>
    </r>
  </si>
  <si>
    <r>
      <t>GO Bond Debt Service and LRB</t>
    </r>
    <r>
      <rPr>
        <vertAlign val="superscript"/>
        <sz val="10"/>
        <color theme="1"/>
        <rFont val="Times New Roman"/>
        <family val="1"/>
      </rPr>
      <t>1</t>
    </r>
  </si>
  <si>
    <t>Tuition Fee Revenue Offset</t>
  </si>
  <si>
    <t>(14)</t>
  </si>
  <si>
    <t>(15)</t>
  </si>
  <si>
    <t>(Cols. 13 + 14)</t>
  </si>
  <si>
    <t>(Sum Cols. 1 - 6)</t>
  </si>
  <si>
    <r>
      <rPr>
        <vertAlign val="superscript"/>
        <sz val="9"/>
        <color theme="1"/>
        <rFont val="Times New Roman"/>
        <family val="1"/>
      </rPr>
      <t>1</t>
    </r>
    <r>
      <rPr>
        <sz val="9"/>
        <color theme="1"/>
        <rFont val="Times New Roman"/>
        <family val="1"/>
      </rPr>
      <t>Operations of new space is funded at $10.45 per square foot and $10 million will be used to finance a multi-million dollar initiative to address CSU deferred maintenance needs.</t>
    </r>
  </si>
  <si>
    <t>Total CSU General Fund Adjustments</t>
  </si>
  <si>
    <t>3% Compensation Pool Increase</t>
  </si>
  <si>
    <r>
      <rPr>
        <vertAlign val="superscript"/>
        <sz val="9"/>
        <color theme="1"/>
        <rFont val="Times New Roman"/>
        <family val="1"/>
      </rPr>
      <t>3</t>
    </r>
    <r>
      <rPr>
        <sz val="9"/>
        <color theme="1"/>
        <rFont val="Times New Roman"/>
        <family val="1"/>
      </rPr>
      <t>Augmentation included in the 2014/15 Budget Act for Center for California Studies.</t>
    </r>
  </si>
  <si>
    <r>
      <t xml:space="preserve">Ops. &amp; Maint. of New Space Need </t>
    </r>
    <r>
      <rPr>
        <b/>
        <u/>
        <sz val="10"/>
        <color theme="1"/>
        <rFont val="Times New Roman"/>
        <family val="1"/>
      </rPr>
      <t>and</t>
    </r>
    <r>
      <rPr>
        <b/>
        <sz val="10"/>
        <color theme="1"/>
        <rFont val="Times New Roman"/>
        <family val="1"/>
      </rPr>
      <t xml:space="preserve"> Deferred Maintenance / Infrastructure Financing</t>
    </r>
  </si>
  <si>
    <t xml:space="preserve">2014/15 Marginal Cost Funding for Enrollment Growth </t>
  </si>
  <si>
    <t>(Col. 13 * 1.137%)</t>
  </si>
  <si>
    <t>(Attach. B, Cols. 12 + 14)</t>
  </si>
  <si>
    <r>
      <t xml:space="preserve">2013/14 Faculty Equity Salary Adjustment </t>
    </r>
    <r>
      <rPr>
        <sz val="9"/>
        <color theme="1"/>
        <rFont val="Times New Roman"/>
        <family val="1"/>
      </rPr>
      <t xml:space="preserve">(SW Funded, One-Third)  </t>
    </r>
  </si>
  <si>
    <r>
      <t xml:space="preserve">2013/14 Improving Student Success / Reduction of Bottleneck Courses Adjustments </t>
    </r>
    <r>
      <rPr>
        <vertAlign val="superscript"/>
        <sz val="11"/>
        <color theme="1"/>
        <rFont val="Times New Roman"/>
        <family val="1"/>
      </rPr>
      <t>2</t>
    </r>
  </si>
  <si>
    <r>
      <t xml:space="preserve">Campus Operating Fee Revenue, State Interest Assessment Adjustment </t>
    </r>
    <r>
      <rPr>
        <vertAlign val="superscript"/>
        <sz val="11"/>
        <color theme="1"/>
        <rFont val="Times New Roman"/>
        <family val="1"/>
      </rPr>
      <t>5</t>
    </r>
  </si>
  <si>
    <r>
      <t>General Fund Base (after GF</t>
    </r>
    <r>
      <rPr>
        <b/>
        <strike/>
        <sz val="11"/>
        <color theme="1"/>
        <rFont val="Times New Roman"/>
        <family val="1"/>
      </rPr>
      <t xml:space="preserve"> </t>
    </r>
    <r>
      <rPr>
        <b/>
        <sz val="11"/>
        <color theme="1"/>
        <rFont val="Times New Roman"/>
        <family val="1"/>
      </rPr>
      <t>Base Adjustment &amp; before Attach. C Increase</t>
    </r>
  </si>
  <si>
    <r>
      <rPr>
        <vertAlign val="superscript"/>
        <sz val="10"/>
        <color theme="1"/>
        <rFont val="Times New Roman"/>
        <family val="1"/>
      </rPr>
      <t>1</t>
    </r>
    <r>
      <rPr>
        <sz val="10"/>
        <color theme="1"/>
        <rFont val="Times New Roman"/>
        <family val="1"/>
      </rPr>
      <t>Beginning in 2013/14 per the state Budget Act of 2013, AB 110, GF adjustments for CSU employer retirement contributions to CalPERS will be based on the university's 2013/14 pensionable payroll. This 2013/14 est. retirement adjustment by campus is based on July-Dec. 2013 CSU Operating Fund pensionable payroll annualized. The allocations may be adjusted further after reconciliation with the state on the full-year 2013/14 pensionable payroll amount, which is expected in fall 2014.</t>
    </r>
  </si>
  <si>
    <r>
      <rPr>
        <vertAlign val="superscript"/>
        <sz val="10"/>
        <color theme="1"/>
        <rFont val="Times New Roman"/>
        <family val="1"/>
      </rPr>
      <t>3</t>
    </r>
    <r>
      <rPr>
        <sz val="10"/>
        <color theme="1"/>
        <rFont val="Times New Roman"/>
        <family val="1"/>
      </rPr>
      <t>2013/14 base enrollment adjustments for Channel Islands (1,033 FTES), Maritime Academy (68 FTES) and San Bernardino (100 FTES) at the 2013/14 GF marginal cost rate.</t>
    </r>
  </si>
  <si>
    <r>
      <rPr>
        <vertAlign val="superscript"/>
        <sz val="10"/>
        <color theme="1"/>
        <rFont val="Times New Roman"/>
        <family val="1"/>
      </rPr>
      <t>6</t>
    </r>
    <r>
      <rPr>
        <sz val="10"/>
        <color theme="1"/>
        <rFont val="Times New Roman"/>
        <family val="1"/>
      </rPr>
      <t xml:space="preserve">The difference between the tuition fee discount adjustments (Attach. D, Col. 11) and distribution based on campus relative need (Attach. E, Col. 3) results in GF allocation adjustments by campus. </t>
    </r>
  </si>
  <si>
    <t>ATTACHMENT A - 2014/15 REVISED Final Budget Allocations, Gross Budget Summary</t>
  </si>
  <si>
    <t xml:space="preserve">ATTACHMENT B - 2014/15 REVISED Final Budget Allocations, General Fund Base Adjustments </t>
  </si>
  <si>
    <t>ATTACHMENT C - 2014/15 REVISED Final Budget Allocations, CSU General Fund Adjustments</t>
  </si>
  <si>
    <t xml:space="preserve">General Fund Base (before adjustment to support CSU Operations) </t>
  </si>
  <si>
    <r>
      <rPr>
        <vertAlign val="superscript"/>
        <sz val="10"/>
        <color theme="1"/>
        <rFont val="Times New Roman"/>
        <family val="1"/>
      </rPr>
      <t>2</t>
    </r>
    <r>
      <rPr>
        <sz val="10"/>
        <color theme="1"/>
        <rFont val="Times New Roman"/>
        <family val="1"/>
      </rPr>
      <t>Campus base budget adjustments for $7.2M awards to improve student success are distributed. Funding for reduction of bottleneck courses will continue to be determined through Academic Affairs (A.A.) RFP process and related funding is moved from Systemwide Provisions to Chancellor's Office A.A.</t>
    </r>
  </si>
  <si>
    <r>
      <t xml:space="preserve">ATTACHMENT D - 2014/15 Final Budget Allocations, Tuition Fee Revenue Adjustments </t>
    </r>
    <r>
      <rPr>
        <b/>
        <i/>
        <sz val="13"/>
        <color theme="1"/>
        <rFont val="Times New Roman"/>
        <family val="1"/>
      </rPr>
      <t>(no changes)</t>
    </r>
  </si>
  <si>
    <r>
      <t xml:space="preserve">ATTACHMENT E - 2014/15 Final Budget Allocations, Tuition Fee Discount Adjustments </t>
    </r>
    <r>
      <rPr>
        <b/>
        <i/>
        <sz val="13"/>
        <color theme="1"/>
        <rFont val="Times New Roman"/>
        <family val="1"/>
      </rPr>
      <t>(no changes)</t>
    </r>
  </si>
  <si>
    <t>GF Base Adjustments</t>
  </si>
  <si>
    <t>CSU GF Adjustments</t>
  </si>
  <si>
    <r>
      <t xml:space="preserve">GF Adjustment to Support CSU Operations </t>
    </r>
    <r>
      <rPr>
        <vertAlign val="superscript"/>
        <sz val="11"/>
        <color theme="1"/>
        <rFont val="Times New Roman"/>
        <family val="1"/>
      </rPr>
      <t>7</t>
    </r>
  </si>
  <si>
    <r>
      <rPr>
        <vertAlign val="superscript"/>
        <sz val="9"/>
        <color theme="1"/>
        <rFont val="Times New Roman"/>
        <family val="1"/>
      </rPr>
      <t>2</t>
    </r>
    <r>
      <rPr>
        <sz val="9"/>
        <color theme="1"/>
        <rFont val="Times New Roman"/>
        <family val="1"/>
      </rPr>
      <t>3% compensation increase is distributed based on 2013/14 actual salaries; $1 million balance in SWPs held pending outcomes of collective bargaining.</t>
    </r>
  </si>
  <si>
    <t xml:space="preserve"> (Attach. D, Col. 3 @$9,737/FTES)</t>
  </si>
  <si>
    <t>(Attach. D, Col. 12)</t>
  </si>
  <si>
    <r>
      <rPr>
        <vertAlign val="superscript"/>
        <sz val="10"/>
        <color theme="1"/>
        <rFont val="Times New Roman"/>
        <family val="1"/>
      </rPr>
      <t>7</t>
    </r>
    <r>
      <rPr>
        <sz val="10"/>
        <color theme="1"/>
        <rFont val="Times New Roman"/>
        <family val="1"/>
      </rPr>
      <t xml:space="preserve">Equivalent to 1.137% GF adjustments assessment </t>
    </r>
    <r>
      <rPr>
        <sz val="10"/>
        <color theme="1"/>
        <rFont val="Times New Roman"/>
        <family val="1"/>
      </rPr>
      <t xml:space="preserve">of $24.5M to support CSU operations. </t>
    </r>
  </si>
  <si>
    <r>
      <rPr>
        <vertAlign val="superscript"/>
        <sz val="9"/>
        <color theme="1"/>
        <rFont val="Times New Roman"/>
        <family val="1"/>
      </rPr>
      <t>4</t>
    </r>
    <r>
      <rPr>
        <sz val="9"/>
        <color theme="1"/>
        <rFont val="Times New Roman"/>
        <family val="1"/>
      </rPr>
      <t xml:space="preserve">Reflects </t>
    </r>
    <r>
      <rPr>
        <sz val="9"/>
        <color theme="1"/>
        <rFont val="Times New Roman"/>
        <family val="1"/>
      </rPr>
      <t xml:space="preserve">allocation and retention of available resources to </t>
    </r>
    <r>
      <rPr>
        <sz val="9"/>
        <color theme="1"/>
        <rFont val="Times New Roman"/>
        <family val="1"/>
      </rPr>
      <t>support systemwide operating budget initiatives.</t>
    </r>
  </si>
  <si>
    <t>Coded Memo B 2014-03, August 28,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</si>
</sst>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_(* #,##0_);_(* \(#,##0\);_(* &quot;-&quot;??_);_(@_)"/>
    <numFmt numFmtId="167" formatCode="0.00000%"/>
    <numFmt numFmtId="168" formatCode="0.000%"/>
    <numFmt numFmtId="169" formatCode="#,##0.00000_);\(#,##0.00000\)"/>
    <numFmt numFmtId="170" formatCode="0.0000%"/>
  </numFmts>
  <fonts count="66">
    <font>
      <sz val="10"/>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b/>
      <sz val="10"/>
      <name val="Times New Roman"/>
      <family val="1"/>
    </font>
    <font>
      <b/>
      <sz val="12"/>
      <name val="Times New Roman"/>
      <family val="1"/>
    </font>
    <font>
      <i/>
      <sz val="8"/>
      <name val="Times New Roman"/>
      <family val="1"/>
    </font>
    <font>
      <sz val="10"/>
      <name val="Times New Roman"/>
      <family val="1"/>
    </font>
    <font>
      <sz val="10"/>
      <color indexed="8"/>
      <name val="Times New Roman"/>
      <family val="1"/>
    </font>
    <font>
      <b/>
      <sz val="11"/>
      <name val="Times New Roman"/>
      <family val="1"/>
    </font>
    <font>
      <sz val="11"/>
      <name val="Times New Roman"/>
      <family val="1"/>
    </font>
    <font>
      <b/>
      <sz val="13"/>
      <name val="Times New Roman"/>
      <family val="1"/>
    </font>
    <font>
      <vertAlign val="superscript"/>
      <sz val="11"/>
      <name val="Times New Roman"/>
      <family val="1"/>
    </font>
    <font>
      <sz val="10"/>
      <name val="Times New Roman"/>
      <family val="1"/>
    </font>
    <font>
      <sz val="10"/>
      <name val="Arial"/>
      <family val="2"/>
    </font>
    <font>
      <sz val="10"/>
      <name val="Arial"/>
      <family val="2"/>
    </font>
    <font>
      <sz val="12"/>
      <color theme="1"/>
      <name val="Times New Roman"/>
      <family val="2"/>
    </font>
    <font>
      <sz val="11"/>
      <color theme="1"/>
      <name val="Calibri"/>
      <family val="2"/>
      <scheme val="minor"/>
    </font>
    <font>
      <sz val="10"/>
      <color theme="1"/>
      <name val="Times New Roman"/>
      <family val="1"/>
    </font>
    <font>
      <sz val="11"/>
      <color theme="1"/>
      <name val="Times New Roman"/>
      <family val="1"/>
    </font>
    <font>
      <b/>
      <sz val="13"/>
      <color theme="1"/>
      <name val="Times New Roman"/>
      <family val="1"/>
    </font>
    <font>
      <sz val="12"/>
      <color theme="1"/>
      <name val="Times New Roman"/>
      <family val="1"/>
    </font>
    <font>
      <b/>
      <sz val="11"/>
      <color theme="1"/>
      <name val="Times New Roman"/>
      <family val="1"/>
    </font>
    <font>
      <b/>
      <i/>
      <sz val="11"/>
      <color theme="1"/>
      <name val="Times New Roman"/>
      <family val="1"/>
    </font>
    <font>
      <sz val="10"/>
      <name val="Times New Roman"/>
      <family val="1"/>
    </font>
    <font>
      <b/>
      <sz val="14"/>
      <name val="Times New Roman"/>
      <family val="1"/>
    </font>
    <font>
      <b/>
      <i/>
      <sz val="11"/>
      <color rgb="FFFF0000"/>
      <name val="Times New Roman"/>
      <family val="1"/>
    </font>
    <font>
      <i/>
      <sz val="11"/>
      <color theme="1"/>
      <name val="Times New Roman"/>
      <family val="1"/>
    </font>
    <font>
      <i/>
      <sz val="8"/>
      <color theme="1"/>
      <name val="Times New Roman"/>
      <family val="1"/>
    </font>
    <font>
      <sz val="10"/>
      <color rgb="FFFF0000"/>
      <name val="Times New Roman"/>
      <family val="1"/>
    </font>
    <font>
      <i/>
      <sz val="8"/>
      <color rgb="FFFF0000"/>
      <name val="Times New Roman"/>
      <family val="1"/>
    </font>
    <font>
      <sz val="8"/>
      <color theme="1"/>
      <name val="Times New Roman"/>
      <family val="1"/>
    </font>
    <font>
      <i/>
      <sz val="12"/>
      <color theme="1"/>
      <name val="Times New Roman"/>
      <family val="1"/>
    </font>
    <font>
      <i/>
      <sz val="10"/>
      <color theme="1"/>
      <name val="Times New Roman"/>
      <family val="1"/>
    </font>
    <font>
      <b/>
      <sz val="12"/>
      <color theme="1"/>
      <name val="Times New Roman"/>
      <family val="1"/>
    </font>
    <font>
      <sz val="9"/>
      <color theme="1"/>
      <name val="Times New Roman"/>
      <family val="1"/>
    </font>
    <font>
      <vertAlign val="superscript"/>
      <sz val="9"/>
      <color theme="1"/>
      <name val="Times New Roman"/>
      <family val="1"/>
    </font>
    <font>
      <sz val="8"/>
      <color rgb="FFFF0000"/>
      <name val="Times New Roman"/>
      <family val="1"/>
    </font>
    <font>
      <b/>
      <sz val="9.5"/>
      <color theme="1"/>
      <name val="Times New Roman"/>
      <family val="1"/>
    </font>
    <font>
      <vertAlign val="superscript"/>
      <sz val="10"/>
      <color theme="1"/>
      <name val="Times New Roman"/>
      <family val="1"/>
    </font>
    <font>
      <sz val="10"/>
      <name val="Arial"/>
      <family val="2"/>
    </font>
    <font>
      <sz val="10"/>
      <name val="Geneva"/>
    </font>
    <font>
      <b/>
      <i/>
      <sz val="12"/>
      <color theme="1"/>
      <name val="Times New Roman"/>
      <family val="1"/>
    </font>
    <font>
      <b/>
      <i/>
      <sz val="10"/>
      <color theme="1"/>
      <name val="Times New Roman"/>
      <family val="1"/>
    </font>
    <font>
      <b/>
      <sz val="10"/>
      <color theme="1"/>
      <name val="Times New Roman"/>
      <family val="1"/>
    </font>
    <font>
      <u/>
      <sz val="10"/>
      <color theme="1"/>
      <name val="Times New Roman"/>
      <family val="1"/>
    </font>
    <font>
      <i/>
      <sz val="7.5"/>
      <color theme="1"/>
      <name val="Times New Roman"/>
      <family val="1"/>
    </font>
    <font>
      <sz val="10"/>
      <name val="Times New Roman"/>
      <family val="1"/>
    </font>
    <font>
      <b/>
      <sz val="14"/>
      <color rgb="FFFF0000"/>
      <name val="Times New Roman"/>
      <family val="1"/>
    </font>
    <font>
      <vertAlign val="superscript"/>
      <sz val="11"/>
      <color theme="1"/>
      <name val="Times New Roman"/>
      <family val="1"/>
    </font>
    <font>
      <u/>
      <sz val="9"/>
      <color theme="1"/>
      <name val="Times New Roman"/>
      <family val="1"/>
    </font>
    <font>
      <i/>
      <sz val="7"/>
      <color theme="1"/>
      <name val="Times New Roman"/>
      <family val="1"/>
    </font>
    <font>
      <b/>
      <vertAlign val="superscript"/>
      <sz val="11"/>
      <color theme="1"/>
      <name val="Times New Roman"/>
      <family val="1"/>
    </font>
    <font>
      <vertAlign val="superscript"/>
      <sz val="10"/>
      <color indexed="8"/>
      <name val="Times New Roman"/>
      <family val="1"/>
    </font>
    <font>
      <b/>
      <sz val="11"/>
      <color theme="1"/>
      <name val="Calibri"/>
      <family val="2"/>
      <scheme val="minor"/>
    </font>
    <font>
      <b/>
      <vertAlign val="superscript"/>
      <sz val="10"/>
      <color theme="1"/>
      <name val="Times New Roman"/>
      <family val="1"/>
    </font>
    <font>
      <b/>
      <u/>
      <sz val="10"/>
      <color theme="1"/>
      <name val="Times New Roman"/>
      <family val="1"/>
    </font>
    <font>
      <b/>
      <strike/>
      <sz val="11"/>
      <color theme="1"/>
      <name val="Times New Roman"/>
      <family val="1"/>
    </font>
    <font>
      <i/>
      <sz val="6"/>
      <color theme="1"/>
      <name val="Times New Roman"/>
      <family val="1"/>
    </font>
    <font>
      <sz val="10"/>
      <color theme="1"/>
      <name val="Arial"/>
      <family val="2"/>
    </font>
    <font>
      <b/>
      <i/>
      <sz val="13"/>
      <color theme="1"/>
      <name val="Times New Roman"/>
      <family val="1"/>
    </font>
  </fonts>
  <fills count="3">
    <fill>
      <patternFill patternType="none"/>
    </fill>
    <fill>
      <patternFill patternType="gray125"/>
    </fill>
    <fill>
      <patternFill patternType="solid">
        <fgColor theme="0" tint="-4.9989318521683403E-2"/>
        <bgColor indexed="64"/>
      </patternFill>
    </fill>
  </fills>
  <borders count="42">
    <border>
      <left/>
      <right/>
      <top/>
      <bottom/>
      <diagonal/>
    </border>
    <border>
      <left/>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style="medium">
        <color theme="1"/>
      </left>
      <right/>
      <top style="medium">
        <color theme="1"/>
      </top>
      <bottom/>
      <diagonal/>
    </border>
    <border>
      <left style="medium">
        <color theme="1"/>
      </left>
      <right/>
      <top/>
      <bottom style="medium">
        <color theme="1"/>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9">
    <xf numFmtId="0" fontId="0" fillId="0" borderId="0"/>
    <xf numFmtId="43" fontId="18"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12" fillId="0" borderId="0" applyFont="0" applyFill="0" applyBorder="0" applyAlignment="0" applyProtection="0"/>
    <xf numFmtId="44" fontId="8"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12" fillId="0" borderId="0"/>
    <xf numFmtId="0" fontId="8" fillId="0" borderId="0"/>
    <xf numFmtId="0" fontId="19" fillId="0" borderId="0"/>
    <xf numFmtId="0" fontId="20" fillId="0" borderId="0"/>
    <xf numFmtId="0" fontId="19" fillId="0" borderId="0"/>
    <xf numFmtId="0" fontId="22" fillId="0" borderId="0"/>
    <xf numFmtId="0" fontId="22" fillId="0" borderId="0"/>
    <xf numFmtId="0" fontId="22" fillId="0" borderId="0"/>
    <xf numFmtId="0" fontId="21" fillId="0" borderId="0"/>
    <xf numFmtId="0" fontId="21" fillId="0" borderId="0"/>
    <xf numFmtId="9" fontId="8" fillId="0" borderId="0" applyFont="0" applyFill="0" applyBorder="0" applyAlignment="0" applyProtection="0"/>
    <xf numFmtId="9" fontId="18" fillId="0" borderId="0" applyFont="0" applyFill="0" applyBorder="0" applyAlignment="0" applyProtection="0"/>
    <xf numFmtId="9" fontId="29"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7" fillId="0" borderId="0"/>
    <xf numFmtId="0" fontId="6" fillId="0" borderId="0"/>
    <xf numFmtId="0" fontId="5" fillId="0" borderId="0"/>
    <xf numFmtId="0" fontId="4" fillId="0" borderId="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43" fontId="8" fillId="0" borderId="0" applyFont="0" applyFill="0" applyBorder="0" applyAlignment="0" applyProtection="0"/>
    <xf numFmtId="0" fontId="2" fillId="0" borderId="0"/>
    <xf numFmtId="0" fontId="2" fillId="0" borderId="0"/>
    <xf numFmtId="0" fontId="8" fillId="0" borderId="0"/>
    <xf numFmtId="0" fontId="45" fillId="0" borderId="0"/>
    <xf numFmtId="9" fontId="19" fillId="0" borderId="0" applyFont="0" applyFill="0" applyBorder="0" applyAlignment="0" applyProtection="0"/>
    <xf numFmtId="0" fontId="46" fillId="0" borderId="0"/>
    <xf numFmtId="0" fontId="46" fillId="0" borderId="0"/>
    <xf numFmtId="0" fontId="1" fillId="0" borderId="0"/>
    <xf numFmtId="0" fontId="1" fillId="0" borderId="0"/>
    <xf numFmtId="43" fontId="52" fillId="0" borderId="0" applyFont="0" applyFill="0" applyBorder="0" applyAlignment="0" applyProtection="0"/>
  </cellStyleXfs>
  <cellXfs count="472">
    <xf numFmtId="0" fontId="0" fillId="0" borderId="0" xfId="0"/>
    <xf numFmtId="37" fontId="25" fillId="0" borderId="0" xfId="0" applyNumberFormat="1" applyFont="1" applyFill="1"/>
    <xf numFmtId="0" fontId="25" fillId="0" borderId="0" xfId="14" applyFont="1" applyFill="1" applyBorder="1" applyAlignment="1"/>
    <xf numFmtId="0" fontId="23" fillId="0" borderId="0" xfId="14" applyFont="1" applyFill="1" applyBorder="1"/>
    <xf numFmtId="0" fontId="23" fillId="0" borderId="0" xfId="14" applyFont="1" applyFill="1" applyBorder="1" applyAlignment="1">
      <alignment horizontal="center"/>
    </xf>
    <xf numFmtId="37" fontId="27" fillId="0" borderId="0" xfId="14" applyNumberFormat="1" applyFont="1" applyFill="1" applyBorder="1" applyAlignment="1">
      <alignment horizontal="center"/>
    </xf>
    <xf numFmtId="0" fontId="23" fillId="0" borderId="10" xfId="14" applyFont="1" applyFill="1" applyBorder="1"/>
    <xf numFmtId="0" fontId="23" fillId="0" borderId="11" xfId="14" applyFont="1" applyFill="1" applyBorder="1"/>
    <xf numFmtId="0" fontId="24" fillId="0" borderId="1" xfId="14" applyFont="1" applyFill="1" applyBorder="1" applyAlignment="1"/>
    <xf numFmtId="0" fontId="23" fillId="0" borderId="0" xfId="14" applyFont="1" applyFill="1" applyBorder="1" applyAlignment="1"/>
    <xf numFmtId="0" fontId="24" fillId="0" borderId="0" xfId="14" applyFont="1" applyFill="1" applyBorder="1" applyAlignment="1"/>
    <xf numFmtId="0" fontId="24" fillId="0" borderId="0" xfId="14" applyFont="1" applyFill="1" applyBorder="1"/>
    <xf numFmtId="0" fontId="24" fillId="0" borderId="0" xfId="14" applyFont="1" applyFill="1" applyBorder="1" applyAlignment="1">
      <alignment horizontal="center"/>
    </xf>
    <xf numFmtId="0" fontId="24" fillId="0" borderId="9" xfId="14" applyFont="1" applyFill="1" applyBorder="1" applyAlignment="1">
      <alignment horizontal="center"/>
    </xf>
    <xf numFmtId="0" fontId="24" fillId="0" borderId="16" xfId="14" applyFont="1" applyFill="1" applyBorder="1" applyAlignment="1">
      <alignment horizontal="center"/>
    </xf>
    <xf numFmtId="0" fontId="23" fillId="0" borderId="16" xfId="14" applyFont="1" applyFill="1" applyBorder="1"/>
    <xf numFmtId="0" fontId="24" fillId="0" borderId="9" xfId="14" applyFont="1" applyFill="1" applyBorder="1"/>
    <xf numFmtId="0" fontId="24" fillId="0" borderId="9" xfId="14" quotePrefix="1" applyFont="1" applyFill="1" applyBorder="1" applyAlignment="1">
      <alignment horizontal="center"/>
    </xf>
    <xf numFmtId="37" fontId="24" fillId="0" borderId="0" xfId="14" applyNumberFormat="1" applyFont="1" applyFill="1" applyBorder="1"/>
    <xf numFmtId="5" fontId="24" fillId="0" borderId="0" xfId="14" applyNumberFormat="1" applyFont="1" applyFill="1" applyBorder="1"/>
    <xf numFmtId="0" fontId="24" fillId="0" borderId="17" xfId="14" applyFont="1" applyFill="1" applyBorder="1" applyAlignment="1">
      <alignment horizontal="center"/>
    </xf>
    <xf numFmtId="0" fontId="23" fillId="0" borderId="18" xfId="14" applyFont="1" applyFill="1" applyBorder="1"/>
    <xf numFmtId="5" fontId="24" fillId="0" borderId="0" xfId="10" applyNumberFormat="1" applyFont="1" applyFill="1" applyBorder="1"/>
    <xf numFmtId="5" fontId="23" fillId="0" borderId="0" xfId="14" applyNumberFormat="1" applyFont="1" applyFill="1" applyBorder="1"/>
    <xf numFmtId="3" fontId="23" fillId="0" borderId="0" xfId="14" applyNumberFormat="1" applyFont="1" applyFill="1" applyBorder="1"/>
    <xf numFmtId="3" fontId="23" fillId="0" borderId="0" xfId="14" applyNumberFormat="1" applyFont="1" applyFill="1" applyBorder="1" applyAlignment="1">
      <alignment horizontal="center"/>
    </xf>
    <xf numFmtId="165" fontId="23" fillId="0" borderId="0" xfId="14" applyNumberFormat="1" applyFont="1" applyFill="1" applyBorder="1"/>
    <xf numFmtId="0" fontId="24" fillId="0" borderId="0" xfId="14" applyFont="1" applyFill="1" applyBorder="1" applyAlignment="1">
      <alignment horizontal="center" wrapText="1"/>
    </xf>
    <xf numFmtId="0" fontId="31" fillId="0" borderId="0" xfId="14" applyFont="1" applyFill="1" applyBorder="1"/>
    <xf numFmtId="0" fontId="27" fillId="0" borderId="9" xfId="14" quotePrefix="1" applyFont="1" applyFill="1" applyBorder="1" applyAlignment="1">
      <alignment wrapText="1"/>
    </xf>
    <xf numFmtId="37" fontId="23" fillId="0" borderId="0" xfId="14" applyNumberFormat="1" applyFont="1" applyFill="1" applyBorder="1"/>
    <xf numFmtId="37" fontId="8" fillId="0" borderId="0" xfId="0" applyNumberFormat="1" applyFont="1" applyFill="1"/>
    <xf numFmtId="0" fontId="23" fillId="0" borderId="9" xfId="14" applyFont="1" applyFill="1" applyBorder="1" applyAlignment="1">
      <alignment horizontal="center" vertical="center"/>
    </xf>
    <xf numFmtId="0" fontId="24" fillId="0" borderId="0" xfId="14" applyFont="1" applyFill="1" applyBorder="1" applyAlignment="1">
      <alignment vertical="center"/>
    </xf>
    <xf numFmtId="0" fontId="24" fillId="0" borderId="19" xfId="14" applyFont="1" applyFill="1" applyBorder="1" applyAlignment="1">
      <alignment horizontal="center" vertical="center"/>
    </xf>
    <xf numFmtId="0" fontId="24" fillId="0" borderId="0" xfId="14" applyFont="1" applyFill="1" applyBorder="1" applyAlignment="1">
      <alignment horizontal="center" vertical="center"/>
    </xf>
    <xf numFmtId="0" fontId="24" fillId="0" borderId="9" xfId="14" applyFont="1" applyFill="1" applyBorder="1" applyAlignment="1">
      <alignment horizontal="center" vertical="center"/>
    </xf>
    <xf numFmtId="0" fontId="24" fillId="0" borderId="16" xfId="14" applyFont="1" applyFill="1" applyBorder="1" applyAlignment="1">
      <alignment horizontal="center" vertical="center"/>
    </xf>
    <xf numFmtId="0" fontId="28" fillId="0" borderId="0" xfId="14" applyFont="1" applyFill="1" applyBorder="1" applyAlignment="1">
      <alignment horizontal="center" vertical="center"/>
    </xf>
    <xf numFmtId="0" fontId="23" fillId="0" borderId="16" xfId="14" applyFont="1" applyFill="1" applyBorder="1" applyAlignment="1">
      <alignment vertical="center"/>
    </xf>
    <xf numFmtId="0" fontId="23" fillId="0" borderId="0" xfId="14" applyFont="1" applyFill="1" applyBorder="1" applyAlignment="1">
      <alignment vertical="center"/>
    </xf>
    <xf numFmtId="37" fontId="23" fillId="0" borderId="0" xfId="0" applyNumberFormat="1" applyFont="1" applyFill="1"/>
    <xf numFmtId="166" fontId="23" fillId="0" borderId="0" xfId="29" applyNumberFormat="1" applyFont="1" applyFill="1" applyBorder="1"/>
    <xf numFmtId="0" fontId="31" fillId="0" borderId="9" xfId="14" applyFont="1" applyFill="1" applyBorder="1"/>
    <xf numFmtId="37" fontId="14" fillId="0" borderId="0" xfId="0" quotePrefix="1" applyNumberFormat="1" applyFont="1" applyFill="1" applyAlignment="1">
      <alignment horizontal="center"/>
    </xf>
    <xf numFmtId="0" fontId="16" fillId="0" borderId="0" xfId="33" applyFont="1" applyFill="1" applyBorder="1"/>
    <xf numFmtId="0" fontId="15" fillId="0" borderId="0" xfId="33" applyFont="1" applyFill="1" applyBorder="1"/>
    <xf numFmtId="0" fontId="14" fillId="0" borderId="0" xfId="33" applyFont="1" applyFill="1" applyBorder="1"/>
    <xf numFmtId="0" fontId="10" fillId="0" borderId="0" xfId="33" applyFont="1" applyFill="1" applyBorder="1" applyAlignment="1">
      <alignment horizontal="right"/>
    </xf>
    <xf numFmtId="0" fontId="15" fillId="0" borderId="0" xfId="33" applyFont="1" applyFill="1"/>
    <xf numFmtId="0" fontId="15" fillId="0" borderId="0" xfId="33" applyFont="1" applyFill="1" applyBorder="1" applyAlignment="1">
      <alignment horizontal="center" wrapText="1"/>
    </xf>
    <xf numFmtId="0" fontId="15" fillId="0" borderId="21" xfId="33" applyFont="1" applyFill="1" applyBorder="1" applyAlignment="1">
      <alignment horizontal="center" wrapText="1"/>
    </xf>
    <xf numFmtId="0" fontId="15" fillId="0" borderId="0" xfId="33" applyFont="1" applyFill="1" applyAlignment="1">
      <alignment horizontal="center" wrapText="1"/>
    </xf>
    <xf numFmtId="5" fontId="15" fillId="0" borderId="0" xfId="33" applyNumberFormat="1" applyFont="1" applyFill="1"/>
    <xf numFmtId="0" fontId="13" fillId="0" borderId="0" xfId="33" applyFont="1" applyFill="1"/>
    <xf numFmtId="0" fontId="8" fillId="0" borderId="0" xfId="33" applyFont="1" applyFill="1"/>
    <xf numFmtId="0" fontId="15" fillId="0" borderId="0" xfId="33" applyFont="1" applyFill="1" applyAlignment="1">
      <alignment horizontal="center"/>
    </xf>
    <xf numFmtId="0" fontId="8" fillId="0" borderId="0" xfId="33" applyFont="1" applyFill="1" applyAlignment="1">
      <alignment horizontal="center"/>
    </xf>
    <xf numFmtId="0" fontId="13" fillId="0" borderId="0" xfId="33" applyNumberFormat="1" applyFont="1" applyFill="1" applyAlignment="1">
      <alignment wrapText="1"/>
    </xf>
    <xf numFmtId="0" fontId="15" fillId="0" borderId="0" xfId="33" applyFont="1" applyFill="1" applyAlignment="1">
      <alignment vertical="center"/>
    </xf>
    <xf numFmtId="5" fontId="15" fillId="0" borderId="0" xfId="33" applyNumberFormat="1" applyFont="1" applyFill="1" applyAlignment="1">
      <alignment vertical="center"/>
    </xf>
    <xf numFmtId="0" fontId="30" fillId="0" borderId="0" xfId="17" applyFont="1" applyFill="1"/>
    <xf numFmtId="0" fontId="15" fillId="0" borderId="23" xfId="33" applyFont="1" applyFill="1" applyBorder="1" applyAlignment="1">
      <alignment horizontal="center" wrapText="1"/>
    </xf>
    <xf numFmtId="0" fontId="35" fillId="0" borderId="0" xfId="33" applyFont="1" applyFill="1" applyBorder="1" applyAlignment="1">
      <alignment horizontal="center" vertical="center" wrapText="1"/>
    </xf>
    <xf numFmtId="0" fontId="35" fillId="0" borderId="0" xfId="33" applyFont="1" applyFill="1" applyAlignment="1">
      <alignment horizontal="center" vertical="center" wrapText="1"/>
    </xf>
    <xf numFmtId="0" fontId="24" fillId="0" borderId="0" xfId="33" applyFont="1" applyFill="1" applyBorder="1" applyAlignment="1">
      <alignment horizontal="left"/>
    </xf>
    <xf numFmtId="37" fontId="26" fillId="0" borderId="0" xfId="34" applyNumberFormat="1" applyFont="1" applyFill="1"/>
    <xf numFmtId="37" fontId="26" fillId="0" borderId="0" xfId="34" applyNumberFormat="1" applyFont="1" applyFill="1" applyBorder="1"/>
    <xf numFmtId="37" fontId="37" fillId="0" borderId="0" xfId="34" applyNumberFormat="1" applyFont="1" applyFill="1" applyBorder="1"/>
    <xf numFmtId="37" fontId="24" fillId="0" borderId="0" xfId="34" applyNumberFormat="1" applyFont="1" applyFill="1"/>
    <xf numFmtId="37" fontId="36" fillId="0" borderId="0" xfId="34" applyNumberFormat="1" applyFont="1" applyFill="1" applyAlignment="1">
      <alignment horizontal="center" vertical="center"/>
    </xf>
    <xf numFmtId="37" fontId="32" fillId="0" borderId="0" xfId="35" quotePrefix="1" applyNumberFormat="1" applyFont="1" applyFill="1" applyBorder="1" applyAlignment="1">
      <alignment horizontal="center"/>
    </xf>
    <xf numFmtId="5" fontId="26" fillId="0" borderId="0" xfId="34" applyNumberFormat="1" applyFont="1" applyFill="1"/>
    <xf numFmtId="37" fontId="26" fillId="0" borderId="0" xfId="35" applyNumberFormat="1" applyFont="1" applyFill="1"/>
    <xf numFmtId="37" fontId="39" fillId="0" borderId="0" xfId="34" applyNumberFormat="1" applyFont="1" applyFill="1" applyBorder="1"/>
    <xf numFmtId="37" fontId="37" fillId="0" borderId="0" xfId="35" applyNumberFormat="1" applyFont="1" applyFill="1" applyBorder="1"/>
    <xf numFmtId="5" fontId="23" fillId="0" borderId="0" xfId="34" applyNumberFormat="1" applyFont="1" applyFill="1"/>
    <xf numFmtId="5" fontId="23" fillId="0" borderId="0" xfId="35" applyNumberFormat="1" applyFont="1" applyFill="1" applyBorder="1"/>
    <xf numFmtId="37" fontId="23" fillId="0" borderId="0" xfId="34" applyNumberFormat="1" applyFont="1" applyFill="1"/>
    <xf numFmtId="37" fontId="23" fillId="0" borderId="0" xfId="35" applyNumberFormat="1" applyFont="1" applyFill="1" applyBorder="1"/>
    <xf numFmtId="37" fontId="38" fillId="0" borderId="0" xfId="35" applyNumberFormat="1" applyFont="1" applyFill="1" applyBorder="1"/>
    <xf numFmtId="37" fontId="23" fillId="0" borderId="2" xfId="34" applyNumberFormat="1" applyFont="1" applyFill="1" applyBorder="1"/>
    <xf numFmtId="5" fontId="23" fillId="0" borderId="2" xfId="35" applyNumberFormat="1" applyFont="1" applyFill="1" applyBorder="1"/>
    <xf numFmtId="37" fontId="23" fillId="0" borderId="0" xfId="34" applyNumberFormat="1" applyFont="1" applyFill="1" applyBorder="1"/>
    <xf numFmtId="37" fontId="23" fillId="0" borderId="3" xfId="34" applyNumberFormat="1" applyFont="1" applyFill="1" applyBorder="1"/>
    <xf numFmtId="37" fontId="23" fillId="0" borderId="0" xfId="35" applyNumberFormat="1" applyFont="1" applyFill="1"/>
    <xf numFmtId="37" fontId="8" fillId="0" borderId="0" xfId="33" applyNumberFormat="1" applyFont="1" applyFill="1" applyBorder="1"/>
    <xf numFmtId="37" fontId="8" fillId="0" borderId="21" xfId="33" applyNumberFormat="1" applyFont="1" applyFill="1" applyBorder="1"/>
    <xf numFmtId="5" fontId="8" fillId="0" borderId="0" xfId="33" applyNumberFormat="1" applyFont="1" applyFill="1" applyBorder="1"/>
    <xf numFmtId="0" fontId="11" fillId="0" borderId="16" xfId="33" applyFont="1" applyFill="1" applyBorder="1" applyAlignment="1">
      <alignment horizontal="center" vertical="center" wrapText="1"/>
    </xf>
    <xf numFmtId="37" fontId="24" fillId="0" borderId="0" xfId="34" applyNumberFormat="1" applyFont="1" applyFill="1" applyBorder="1"/>
    <xf numFmtId="5" fontId="23" fillId="0" borderId="0" xfId="34" applyNumberFormat="1" applyFont="1" applyFill="1" applyBorder="1"/>
    <xf numFmtId="37" fontId="23" fillId="0" borderId="8" xfId="34" applyNumberFormat="1" applyFont="1" applyFill="1" applyBorder="1"/>
    <xf numFmtId="0" fontId="23" fillId="0" borderId="10" xfId="14" quotePrefix="1" applyFont="1" applyFill="1" applyBorder="1" applyAlignment="1">
      <alignment horizontal="centerContinuous"/>
    </xf>
    <xf numFmtId="0" fontId="23" fillId="0" borderId="30" xfId="14" quotePrefix="1" applyFont="1" applyFill="1" applyBorder="1" applyAlignment="1">
      <alignment horizontal="centerContinuous"/>
    </xf>
    <xf numFmtId="0" fontId="8" fillId="0" borderId="0" xfId="33" applyFont="1" applyFill="1" applyBorder="1"/>
    <xf numFmtId="0" fontId="35" fillId="0" borderId="21" xfId="33" applyFont="1" applyFill="1" applyBorder="1" applyAlignment="1">
      <alignment horizontal="center" vertical="center" wrapText="1"/>
    </xf>
    <xf numFmtId="5" fontId="8" fillId="0" borderId="21" xfId="33" applyNumberFormat="1" applyFont="1" applyFill="1" applyBorder="1"/>
    <xf numFmtId="5" fontId="9" fillId="0" borderId="20" xfId="33" applyNumberFormat="1" applyFont="1" applyFill="1" applyBorder="1"/>
    <xf numFmtId="0" fontId="11" fillId="0" borderId="23" xfId="33" applyFont="1" applyFill="1" applyBorder="1" applyAlignment="1">
      <alignment horizontal="center" vertical="center" wrapText="1"/>
    </xf>
    <xf numFmtId="37" fontId="33" fillId="0" borderId="0" xfId="34" applyNumberFormat="1" applyFont="1" applyFill="1" applyBorder="1" applyAlignment="1">
      <alignment horizontal="center" vertical="center"/>
    </xf>
    <xf numFmtId="169" fontId="8" fillId="0" borderId="0" xfId="0" applyNumberFormat="1" applyFont="1" applyFill="1"/>
    <xf numFmtId="168" fontId="23" fillId="0" borderId="0" xfId="23" applyNumberFormat="1" applyFont="1" applyFill="1" applyBorder="1"/>
    <xf numFmtId="0" fontId="34" fillId="0" borderId="0" xfId="14" applyFont="1" applyFill="1" applyBorder="1"/>
    <xf numFmtId="0" fontId="34" fillId="0" borderId="0" xfId="14" applyFont="1" applyFill="1" applyBorder="1" applyAlignment="1">
      <alignment horizontal="right"/>
    </xf>
    <xf numFmtId="37" fontId="34" fillId="0" borderId="0" xfId="14" applyNumberFormat="1" applyFont="1" applyFill="1" applyBorder="1"/>
    <xf numFmtId="165" fontId="34" fillId="0" borderId="0" xfId="14" applyNumberFormat="1" applyFont="1" applyFill="1" applyBorder="1" applyAlignment="1">
      <alignment horizontal="right"/>
    </xf>
    <xf numFmtId="6" fontId="34" fillId="0" borderId="0" xfId="14" applyNumberFormat="1" applyFont="1" applyFill="1" applyBorder="1"/>
    <xf numFmtId="0" fontId="23" fillId="0" borderId="0" xfId="33" applyFont="1" applyFill="1" applyBorder="1" applyAlignment="1">
      <alignment horizontal="center" vertical="center" wrapText="1"/>
    </xf>
    <xf numFmtId="0" fontId="23" fillId="0" borderId="0" xfId="33" applyFont="1" applyFill="1" applyBorder="1" applyAlignment="1">
      <alignment horizontal="center" vertical="top" wrapText="1"/>
    </xf>
    <xf numFmtId="0" fontId="15" fillId="0" borderId="32" xfId="33" applyFont="1" applyFill="1" applyBorder="1"/>
    <xf numFmtId="37" fontId="8" fillId="0" borderId="2" xfId="33" applyNumberFormat="1" applyFont="1" applyFill="1" applyBorder="1"/>
    <xf numFmtId="37" fontId="9" fillId="0" borderId="3" xfId="33" applyNumberFormat="1" applyFont="1" applyFill="1" applyBorder="1"/>
    <xf numFmtId="37" fontId="10" fillId="0" borderId="1" xfId="14" applyNumberFormat="1" applyFont="1" applyFill="1" applyBorder="1" applyAlignment="1">
      <alignment horizontal="center" vertical="center"/>
    </xf>
    <xf numFmtId="5" fontId="9" fillId="0" borderId="22" xfId="33" applyNumberFormat="1" applyFont="1" applyFill="1" applyBorder="1"/>
    <xf numFmtId="5" fontId="9" fillId="0" borderId="21" xfId="33" applyNumberFormat="1" applyFont="1" applyFill="1" applyBorder="1"/>
    <xf numFmtId="0" fontId="8" fillId="0" borderId="21" xfId="33" applyFont="1" applyFill="1" applyBorder="1"/>
    <xf numFmtId="0" fontId="15" fillId="0" borderId="16" xfId="33" applyFont="1" applyFill="1" applyBorder="1" applyAlignment="1">
      <alignment horizontal="center" wrapText="1"/>
    </xf>
    <xf numFmtId="5" fontId="23" fillId="0" borderId="2" xfId="34" applyNumberFormat="1" applyFont="1" applyFill="1" applyBorder="1"/>
    <xf numFmtId="37" fontId="23" fillId="0" borderId="0" xfId="14" applyNumberFormat="1" applyFont="1" applyFill="1" applyAlignment="1"/>
    <xf numFmtId="0" fontId="15" fillId="0" borderId="0" xfId="33" applyFont="1" applyFill="1" applyBorder="1" applyAlignment="1">
      <alignment horizontal="center" wrapText="1"/>
    </xf>
    <xf numFmtId="5" fontId="23" fillId="0" borderId="2" xfId="35" applyNumberFormat="1" applyFont="1" applyFill="1" applyBorder="1" applyAlignment="1">
      <alignment horizontal="right"/>
    </xf>
    <xf numFmtId="165" fontId="23" fillId="0" borderId="3" xfId="35" applyNumberFormat="1" applyFont="1" applyFill="1" applyBorder="1" applyAlignment="1">
      <alignment horizontal="right"/>
    </xf>
    <xf numFmtId="10" fontId="34" fillId="0" borderId="0" xfId="23" applyNumberFormat="1" applyFont="1" applyFill="1" applyBorder="1"/>
    <xf numFmtId="10" fontId="23" fillId="0" borderId="0" xfId="23" applyNumberFormat="1" applyFont="1" applyFill="1" applyBorder="1"/>
    <xf numFmtId="37" fontId="33" fillId="2" borderId="16" xfId="0" applyNumberFormat="1" applyFont="1" applyFill="1" applyBorder="1"/>
    <xf numFmtId="37" fontId="33" fillId="2" borderId="9" xfId="0" applyNumberFormat="1" applyFont="1" applyFill="1" applyBorder="1"/>
    <xf numFmtId="5" fontId="33" fillId="2" borderId="26" xfId="0" applyNumberFormat="1" applyFont="1" applyFill="1" applyBorder="1"/>
    <xf numFmtId="5" fontId="33" fillId="2" borderId="29" xfId="0" applyNumberFormat="1" applyFont="1" applyFill="1" applyBorder="1"/>
    <xf numFmtId="37" fontId="23" fillId="0" borderId="0" xfId="0" applyNumberFormat="1" applyFont="1" applyFill="1" applyAlignment="1">
      <alignment horizontal="right" vertical="top" wrapText="1"/>
    </xf>
    <xf numFmtId="37" fontId="23" fillId="0" borderId="0" xfId="0" applyNumberFormat="1" applyFont="1" applyFill="1" applyBorder="1"/>
    <xf numFmtId="37" fontId="47" fillId="0" borderId="0" xfId="0" quotePrefix="1" applyNumberFormat="1" applyFont="1" applyFill="1" applyAlignment="1">
      <alignment horizontal="right"/>
    </xf>
    <xf numFmtId="37" fontId="37" fillId="0" borderId="0" xfId="0" applyNumberFormat="1" applyFont="1" applyFill="1"/>
    <xf numFmtId="37" fontId="48" fillId="0" borderId="0" xfId="0" applyNumberFormat="1" applyFont="1" applyFill="1" applyAlignment="1">
      <alignment horizontal="right"/>
    </xf>
    <xf numFmtId="37" fontId="23" fillId="0" borderId="0" xfId="0" applyNumberFormat="1" applyFont="1" applyFill="1" applyAlignment="1">
      <alignment vertical="center"/>
    </xf>
    <xf numFmtId="37" fontId="49" fillId="0" borderId="1" xfId="0" applyNumberFormat="1" applyFont="1" applyFill="1" applyBorder="1" applyAlignment="1">
      <alignment vertical="center"/>
    </xf>
    <xf numFmtId="37" fontId="49" fillId="0" borderId="1" xfId="0" applyNumberFormat="1" applyFont="1" applyFill="1" applyBorder="1" applyAlignment="1">
      <alignment horizontal="center" vertical="center"/>
    </xf>
    <xf numFmtId="37" fontId="23" fillId="0" borderId="0" xfId="0" applyNumberFormat="1" applyFont="1" applyFill="1" applyBorder="1" applyAlignment="1">
      <alignment vertical="center"/>
    </xf>
    <xf numFmtId="37" fontId="23" fillId="0" borderId="1" xfId="0" applyNumberFormat="1" applyFont="1" applyFill="1" applyBorder="1" applyAlignment="1">
      <alignment vertical="center"/>
    </xf>
    <xf numFmtId="37" fontId="49" fillId="0" borderId="0" xfId="0" applyNumberFormat="1" applyFont="1" applyFill="1" applyBorder="1" applyAlignment="1">
      <alignment horizontal="center" vertical="center"/>
    </xf>
    <xf numFmtId="37" fontId="24" fillId="0" borderId="0" xfId="0" applyNumberFormat="1" applyFont="1" applyFill="1" applyAlignment="1">
      <alignment vertical="center"/>
    </xf>
    <xf numFmtId="37" fontId="24" fillId="0" borderId="0" xfId="0" applyNumberFormat="1" applyFont="1" applyFill="1" applyBorder="1" applyAlignment="1">
      <alignment vertical="center"/>
    </xf>
    <xf numFmtId="37" fontId="27" fillId="0" borderId="0" xfId="0" applyNumberFormat="1" applyFont="1" applyFill="1" applyBorder="1" applyAlignment="1">
      <alignment horizontal="center" vertical="center" wrapText="1"/>
    </xf>
    <xf numFmtId="37" fontId="24" fillId="0" borderId="9" xfId="0" applyNumberFormat="1" applyFont="1" applyFill="1" applyBorder="1" applyAlignment="1">
      <alignment vertical="center"/>
    </xf>
    <xf numFmtId="37" fontId="24" fillId="0" borderId="0" xfId="0" applyNumberFormat="1" applyFont="1" applyFill="1" applyAlignment="1"/>
    <xf numFmtId="37" fontId="27" fillId="0" borderId="0" xfId="0" applyNumberFormat="1" applyFont="1" applyFill="1" applyBorder="1" applyAlignment="1">
      <alignment horizontal="center"/>
    </xf>
    <xf numFmtId="37" fontId="24" fillId="0" borderId="0" xfId="0" applyNumberFormat="1" applyFont="1" applyFill="1" applyBorder="1" applyAlignment="1"/>
    <xf numFmtId="37" fontId="27" fillId="0" borderId="0" xfId="0" applyNumberFormat="1" applyFont="1" applyFill="1" applyBorder="1" applyAlignment="1"/>
    <xf numFmtId="37" fontId="27" fillId="0" borderId="2" xfId="0" applyNumberFormat="1" applyFont="1" applyFill="1" applyBorder="1" applyAlignment="1">
      <alignment horizontal="center"/>
    </xf>
    <xf numFmtId="37" fontId="32" fillId="0" borderId="0" xfId="0" applyNumberFormat="1" applyFont="1" applyFill="1" applyBorder="1" applyAlignment="1">
      <alignment horizontal="center" wrapText="1"/>
    </xf>
    <xf numFmtId="37" fontId="24" fillId="0" borderId="0" xfId="0" applyNumberFormat="1" applyFont="1" applyFill="1" applyAlignment="1">
      <alignment horizontal="center" wrapText="1"/>
    </xf>
    <xf numFmtId="37" fontId="24" fillId="0" borderId="0" xfId="0" applyNumberFormat="1" applyFont="1" applyFill="1" applyBorder="1" applyAlignment="1">
      <alignment horizontal="center" wrapText="1"/>
    </xf>
    <xf numFmtId="37" fontId="33" fillId="2" borderId="26" xfId="0" applyNumberFormat="1" applyFont="1" applyFill="1" applyBorder="1" applyAlignment="1">
      <alignment horizontal="center" wrapText="1"/>
    </xf>
    <xf numFmtId="37" fontId="33" fillId="2" borderId="29" xfId="0" applyNumberFormat="1" applyFont="1" applyFill="1" applyBorder="1" applyAlignment="1">
      <alignment horizontal="center" wrapText="1"/>
    </xf>
    <xf numFmtId="37" fontId="33" fillId="0" borderId="0" xfId="0" applyNumberFormat="1" applyFont="1" applyFill="1" applyAlignment="1">
      <alignment horizontal="center" vertical="center" wrapText="1"/>
    </xf>
    <xf numFmtId="37" fontId="51" fillId="0" borderId="0" xfId="0" applyNumberFormat="1" applyFont="1" applyFill="1" applyBorder="1" applyAlignment="1">
      <alignment horizontal="center" vertical="center" wrapText="1"/>
    </xf>
    <xf numFmtId="37" fontId="33" fillId="2" borderId="9" xfId="0" applyNumberFormat="1" applyFont="1" applyFill="1" applyBorder="1" applyAlignment="1">
      <alignment horizontal="center" vertical="center" wrapText="1"/>
    </xf>
    <xf numFmtId="37" fontId="33" fillId="2" borderId="16" xfId="0" applyNumberFormat="1" applyFont="1" applyFill="1" applyBorder="1" applyAlignment="1">
      <alignment horizontal="center" vertical="center" wrapText="1"/>
    </xf>
    <xf numFmtId="5" fontId="23" fillId="0" borderId="0" xfId="0" applyNumberFormat="1" applyFont="1" applyFill="1"/>
    <xf numFmtId="5" fontId="23" fillId="0" borderId="0" xfId="0" applyNumberFormat="1" applyFont="1" applyFill="1" applyBorder="1"/>
    <xf numFmtId="5" fontId="23" fillId="0" borderId="0" xfId="14" applyNumberFormat="1" applyFont="1" applyFill="1"/>
    <xf numFmtId="5" fontId="33" fillId="2" borderId="16" xfId="0" applyNumberFormat="1" applyFont="1" applyFill="1" applyBorder="1"/>
    <xf numFmtId="37" fontId="23" fillId="0" borderId="0" xfId="14" applyNumberFormat="1" applyFont="1" applyFill="1"/>
    <xf numFmtId="5" fontId="23" fillId="0" borderId="2" xfId="0" applyNumberFormat="1" applyFont="1" applyFill="1" applyBorder="1"/>
    <xf numFmtId="37" fontId="23" fillId="0" borderId="0" xfId="0" applyNumberFormat="1" applyFont="1" applyFill="1" applyAlignment="1">
      <alignment horizontal="right"/>
    </xf>
    <xf numFmtId="37" fontId="23" fillId="0" borderId="0" xfId="0" applyNumberFormat="1" applyFont="1" applyFill="1" applyProtection="1">
      <protection locked="0"/>
    </xf>
    <xf numFmtId="37" fontId="44" fillId="0" borderId="0" xfId="0" applyNumberFormat="1" applyFont="1" applyFill="1" applyAlignment="1">
      <alignment horizontal="left" vertical="top"/>
    </xf>
    <xf numFmtId="37" fontId="44" fillId="0" borderId="0" xfId="0" applyNumberFormat="1" applyFont="1" applyFill="1" applyAlignment="1"/>
    <xf numFmtId="37" fontId="41" fillId="0" borderId="0" xfId="0" applyNumberFormat="1" applyFont="1" applyFill="1" applyAlignment="1">
      <alignment vertical="top"/>
    </xf>
    <xf numFmtId="5" fontId="23" fillId="0" borderId="3" xfId="0" applyNumberFormat="1" applyFont="1" applyFill="1" applyBorder="1"/>
    <xf numFmtId="37" fontId="40" fillId="0" borderId="0" xfId="0" applyNumberFormat="1" applyFont="1" applyFill="1" applyAlignment="1">
      <alignment horizontal="left"/>
    </xf>
    <xf numFmtId="37" fontId="23" fillId="0" borderId="0" xfId="0" applyNumberFormat="1" applyFont="1" applyFill="1" applyAlignment="1">
      <alignment vertical="top"/>
    </xf>
    <xf numFmtId="37" fontId="23" fillId="0" borderId="0" xfId="0" applyNumberFormat="1" applyFont="1" applyFill="1" applyBorder="1" applyAlignment="1">
      <alignment vertical="top"/>
    </xf>
    <xf numFmtId="37" fontId="23" fillId="0" borderId="0" xfId="0" applyNumberFormat="1" applyFont="1" applyFill="1" applyAlignment="1">
      <alignment horizontal="center" vertical="top"/>
    </xf>
    <xf numFmtId="37" fontId="38" fillId="0" borderId="0" xfId="0" applyNumberFormat="1" applyFont="1" applyFill="1" applyBorder="1" applyAlignment="1">
      <alignment vertical="top"/>
    </xf>
    <xf numFmtId="37" fontId="38" fillId="0" borderId="0" xfId="0" applyNumberFormat="1" applyFont="1" applyFill="1" applyAlignment="1">
      <alignment vertical="top"/>
    </xf>
    <xf numFmtId="164" fontId="23" fillId="0" borderId="0" xfId="23" applyNumberFormat="1" applyFont="1" applyFill="1"/>
    <xf numFmtId="37" fontId="33" fillId="0" borderId="0" xfId="0" quotePrefix="1" applyNumberFormat="1" applyFont="1" applyFill="1" applyBorder="1" applyAlignment="1">
      <alignment horizontal="center" vertical="center" wrapText="1"/>
    </xf>
    <xf numFmtId="37" fontId="11" fillId="0" borderId="0" xfId="14" applyNumberFormat="1" applyFont="1" applyFill="1" applyBorder="1" applyAlignment="1">
      <alignment horizontal="center" wrapText="1"/>
    </xf>
    <xf numFmtId="37" fontId="11" fillId="0" borderId="0" xfId="14" applyNumberFormat="1" applyFont="1" applyFill="1" applyBorder="1" applyAlignment="1">
      <alignment horizontal="center" vertical="center" wrapText="1"/>
    </xf>
    <xf numFmtId="0" fontId="11" fillId="0" borderId="0" xfId="33" applyFont="1" applyFill="1" applyBorder="1" applyAlignment="1">
      <alignment horizontal="center" vertical="center" wrapText="1"/>
    </xf>
    <xf numFmtId="0" fontId="23" fillId="0" borderId="9" xfId="33" applyFont="1" applyFill="1" applyBorder="1" applyAlignment="1">
      <alignment horizontal="center" vertical="top" wrapText="1"/>
    </xf>
    <xf numFmtId="0" fontId="15" fillId="0" borderId="9" xfId="33" applyFont="1" applyFill="1" applyBorder="1" applyAlignment="1">
      <alignment horizontal="center" wrapText="1"/>
    </xf>
    <xf numFmtId="5" fontId="8" fillId="0" borderId="9" xfId="33" applyNumberFormat="1" applyFont="1" applyFill="1" applyBorder="1"/>
    <xf numFmtId="37" fontId="8" fillId="0" borderId="9" xfId="33" applyNumberFormat="1" applyFont="1" applyFill="1" applyBorder="1"/>
    <xf numFmtId="0" fontId="35" fillId="0" borderId="23" xfId="33" applyFont="1" applyFill="1" applyBorder="1" applyAlignment="1">
      <alignment horizontal="center" vertical="center" wrapText="1"/>
    </xf>
    <xf numFmtId="5" fontId="8" fillId="0" borderId="0" xfId="33" applyNumberFormat="1" applyFont="1" applyFill="1"/>
    <xf numFmtId="37" fontId="27" fillId="0" borderId="0" xfId="34" applyNumberFormat="1" applyFont="1" applyFill="1" applyAlignment="1">
      <alignment vertical="center" wrapText="1"/>
    </xf>
    <xf numFmtId="37" fontId="44" fillId="0" borderId="0" xfId="35" applyNumberFormat="1" applyFont="1" applyFill="1" applyBorder="1" applyAlignment="1">
      <alignment horizontal="left"/>
    </xf>
    <xf numFmtId="37" fontId="33" fillId="0" borderId="0" xfId="0" applyNumberFormat="1" applyFont="1" applyFill="1" applyBorder="1" applyAlignment="1">
      <alignment horizontal="center" vertical="center"/>
    </xf>
    <xf numFmtId="0" fontId="14" fillId="0" borderId="28" xfId="33" applyFont="1" applyFill="1" applyBorder="1" applyAlignment="1">
      <alignment horizontal="center" wrapText="1"/>
    </xf>
    <xf numFmtId="0" fontId="23" fillId="0" borderId="16" xfId="33" applyFont="1" applyFill="1" applyBorder="1" applyAlignment="1">
      <alignment horizontal="center" vertical="top" wrapText="1"/>
    </xf>
    <xf numFmtId="0" fontId="11" fillId="0" borderId="9" xfId="33" applyFont="1" applyFill="1" applyBorder="1" applyAlignment="1">
      <alignment horizontal="center" vertical="center" wrapText="1"/>
    </xf>
    <xf numFmtId="0" fontId="8" fillId="0" borderId="9" xfId="33" applyFont="1" applyFill="1" applyBorder="1"/>
    <xf numFmtId="5" fontId="8" fillId="0" borderId="26" xfId="33" applyNumberFormat="1" applyFont="1" applyFill="1" applyBorder="1"/>
    <xf numFmtId="37" fontId="8" fillId="0" borderId="17" xfId="33" applyNumberFormat="1" applyFont="1" applyFill="1" applyBorder="1"/>
    <xf numFmtId="5" fontId="9" fillId="0" borderId="14" xfId="33" applyNumberFormat="1" applyFont="1" applyFill="1" applyBorder="1"/>
    <xf numFmtId="0" fontId="23" fillId="0" borderId="12" xfId="14" applyFont="1" applyFill="1" applyBorder="1" applyAlignment="1">
      <alignment horizontal="center" wrapText="1"/>
    </xf>
    <xf numFmtId="0" fontId="15" fillId="0" borderId="0" xfId="46" applyFont="1" applyFill="1"/>
    <xf numFmtId="5" fontId="34" fillId="0" borderId="0" xfId="14" applyNumberFormat="1" applyFont="1" applyFill="1" applyBorder="1" applyAlignment="1">
      <alignment horizontal="right"/>
    </xf>
    <xf numFmtId="37" fontId="34" fillId="0" borderId="0" xfId="14" applyNumberFormat="1" applyFont="1" applyFill="1" applyBorder="1" applyAlignment="1">
      <alignment horizontal="right"/>
    </xf>
    <xf numFmtId="5" fontId="34" fillId="0" borderId="0" xfId="14" applyNumberFormat="1" applyFont="1" applyFill="1" applyBorder="1" applyAlignment="1">
      <alignment horizontal="left"/>
    </xf>
    <xf numFmtId="37" fontId="34" fillId="0" borderId="0" xfId="14" applyNumberFormat="1" applyFont="1" applyFill="1" applyBorder="1" applyAlignment="1">
      <alignment horizontal="left"/>
    </xf>
    <xf numFmtId="5" fontId="34" fillId="0" borderId="0" xfId="33" applyNumberFormat="1" applyFont="1" applyFill="1" applyBorder="1"/>
    <xf numFmtId="37" fontId="34" fillId="0" borderId="0" xfId="33" applyNumberFormat="1" applyFont="1" applyFill="1" applyBorder="1"/>
    <xf numFmtId="37" fontId="23" fillId="0" borderId="0" xfId="0" applyNumberFormat="1" applyFont="1" applyFill="1" applyAlignment="1">
      <alignment horizontal="left" vertical="top"/>
    </xf>
    <xf numFmtId="0" fontId="53" fillId="0" borderId="0" xfId="33" applyFont="1" applyFill="1" applyBorder="1"/>
    <xf numFmtId="41" fontId="23" fillId="0" borderId="0" xfId="0" applyNumberFormat="1" applyFont="1" applyFill="1" applyBorder="1"/>
    <xf numFmtId="37" fontId="23" fillId="0" borderId="0" xfId="33" applyNumberFormat="1" applyFont="1" applyFill="1" applyBorder="1"/>
    <xf numFmtId="166" fontId="23" fillId="0" borderId="0" xfId="48" applyNumberFormat="1" applyFont="1" applyFill="1"/>
    <xf numFmtId="41" fontId="8" fillId="0" borderId="2" xfId="33" applyNumberFormat="1" applyFont="1" applyFill="1" applyBorder="1"/>
    <xf numFmtId="37" fontId="8" fillId="0" borderId="0" xfId="33" applyNumberFormat="1" applyFont="1" applyFill="1"/>
    <xf numFmtId="41" fontId="9" fillId="0" borderId="3" xfId="33" applyNumberFormat="1" applyFont="1" applyFill="1" applyBorder="1"/>
    <xf numFmtId="0" fontId="23" fillId="0" borderId="9" xfId="33" applyFont="1" applyFill="1" applyBorder="1" applyAlignment="1">
      <alignment horizontal="center" vertical="center" wrapText="1"/>
    </xf>
    <xf numFmtId="5" fontId="34" fillId="0" borderId="9" xfId="33" applyNumberFormat="1" applyFont="1" applyFill="1" applyBorder="1"/>
    <xf numFmtId="5" fontId="23" fillId="0" borderId="16" xfId="33" applyNumberFormat="1" applyFont="1" applyFill="1" applyBorder="1"/>
    <xf numFmtId="37" fontId="34" fillId="0" borderId="9" xfId="33" applyNumberFormat="1" applyFont="1" applyFill="1" applyBorder="1"/>
    <xf numFmtId="37" fontId="23" fillId="0" borderId="16" xfId="33" applyNumberFormat="1" applyFont="1" applyFill="1" applyBorder="1"/>
    <xf numFmtId="0" fontId="23" fillId="0" borderId="16" xfId="33" applyFont="1" applyFill="1" applyBorder="1"/>
    <xf numFmtId="5" fontId="23" fillId="0" borderId="29" xfId="33" applyNumberFormat="1" applyFont="1" applyFill="1" applyBorder="1"/>
    <xf numFmtId="5" fontId="49" fillId="0" borderId="15" xfId="33" applyNumberFormat="1" applyFont="1" applyFill="1" applyBorder="1"/>
    <xf numFmtId="37" fontId="54" fillId="0" borderId="0" xfId="0" applyNumberFormat="1" applyFont="1" applyFill="1" applyBorder="1" applyAlignment="1">
      <alignment horizontal="left" wrapText="1"/>
    </xf>
    <xf numFmtId="5" fontId="33" fillId="2" borderId="9" xfId="0" applyNumberFormat="1" applyFont="1" applyFill="1" applyBorder="1"/>
    <xf numFmtId="37" fontId="23" fillId="0" borderId="0" xfId="35" applyNumberFormat="1" applyFont="1" applyFill="1" applyBorder="1" applyAlignment="1"/>
    <xf numFmtId="37" fontId="23" fillId="0" borderId="0" xfId="0" applyNumberFormat="1" applyFont="1" applyFill="1" applyBorder="1" applyAlignment="1"/>
    <xf numFmtId="37" fontId="26" fillId="0" borderId="0" xfId="0" applyNumberFormat="1" applyFont="1" applyFill="1" applyBorder="1" applyAlignment="1">
      <alignment horizontal="center"/>
    </xf>
    <xf numFmtId="5" fontId="23" fillId="0" borderId="0" xfId="0" applyNumberFormat="1" applyFont="1" applyFill="1" applyBorder="1" applyAlignment="1"/>
    <xf numFmtId="37" fontId="23" fillId="0" borderId="0" xfId="13" applyNumberFormat="1" applyFont="1" applyFill="1" applyAlignment="1"/>
    <xf numFmtId="37" fontId="23" fillId="0" borderId="0" xfId="0" applyNumberFormat="1" applyFont="1" applyFill="1" applyAlignment="1"/>
    <xf numFmtId="5" fontId="23" fillId="0" borderId="2" xfId="0" applyNumberFormat="1" applyFont="1" applyFill="1" applyBorder="1" applyAlignment="1"/>
    <xf numFmtId="38" fontId="23" fillId="0" borderId="0" xfId="0" applyNumberFormat="1" applyFont="1" applyAlignment="1"/>
    <xf numFmtId="5" fontId="23" fillId="0" borderId="3" xfId="0" applyNumberFormat="1" applyFont="1" applyFill="1" applyBorder="1" applyAlignment="1"/>
    <xf numFmtId="0" fontId="25" fillId="0" borderId="0" xfId="33" applyFont="1" applyFill="1" applyBorder="1"/>
    <xf numFmtId="5" fontId="23" fillId="0" borderId="26" xfId="33" applyNumberFormat="1" applyFont="1" applyFill="1" applyBorder="1"/>
    <xf numFmtId="5" fontId="23" fillId="0" borderId="2" xfId="33" applyNumberFormat="1" applyFont="1" applyFill="1" applyBorder="1"/>
    <xf numFmtId="37" fontId="23" fillId="0" borderId="9" xfId="33" applyNumberFormat="1" applyFont="1" applyFill="1" applyBorder="1"/>
    <xf numFmtId="5" fontId="49" fillId="0" borderId="14" xfId="33" applyNumberFormat="1" applyFont="1" applyFill="1" applyBorder="1"/>
    <xf numFmtId="5" fontId="49" fillId="0" borderId="3" xfId="33" applyNumberFormat="1" applyFont="1" applyFill="1" applyBorder="1"/>
    <xf numFmtId="0" fontId="24" fillId="0" borderId="0" xfId="33" applyFont="1" applyFill="1"/>
    <xf numFmtId="5" fontId="23" fillId="0" borderId="0" xfId="33" applyNumberFormat="1" applyFont="1" applyFill="1" applyBorder="1"/>
    <xf numFmtId="5" fontId="23" fillId="0" borderId="21" xfId="33" applyNumberFormat="1" applyFont="1" applyFill="1" applyBorder="1"/>
    <xf numFmtId="5" fontId="24" fillId="0" borderId="0" xfId="33" applyNumberFormat="1" applyFont="1" applyFill="1"/>
    <xf numFmtId="5" fontId="23" fillId="0" borderId="23" xfId="33" applyNumberFormat="1" applyFont="1" applyFill="1" applyBorder="1"/>
    <xf numFmtId="37" fontId="23" fillId="0" borderId="21" xfId="33" applyNumberFormat="1" applyFont="1" applyFill="1" applyBorder="1"/>
    <xf numFmtId="37" fontId="24" fillId="0" borderId="0" xfId="33" applyNumberFormat="1" applyFont="1" applyFill="1"/>
    <xf numFmtId="37" fontId="23" fillId="0" borderId="23" xfId="33" applyNumberFormat="1" applyFont="1" applyFill="1" applyBorder="1"/>
    <xf numFmtId="0" fontId="23" fillId="0" borderId="0" xfId="33" applyFont="1" applyFill="1"/>
    <xf numFmtId="0" fontId="23" fillId="0" borderId="23" xfId="33" applyFont="1" applyFill="1" applyBorder="1"/>
    <xf numFmtId="5" fontId="23" fillId="0" borderId="22" xfId="33" applyNumberFormat="1" applyFont="1" applyFill="1" applyBorder="1"/>
    <xf numFmtId="5" fontId="23" fillId="0" borderId="24" xfId="33" applyNumberFormat="1" applyFont="1" applyFill="1" applyBorder="1"/>
    <xf numFmtId="37" fontId="23" fillId="0" borderId="8" xfId="33" applyNumberFormat="1" applyFont="1" applyFill="1" applyBorder="1"/>
    <xf numFmtId="37" fontId="23" fillId="0" borderId="37" xfId="33" applyNumberFormat="1" applyFont="1" applyFill="1" applyBorder="1"/>
    <xf numFmtId="0" fontId="23" fillId="0" borderId="8" xfId="33" applyFont="1" applyFill="1" applyBorder="1"/>
    <xf numFmtId="37" fontId="23" fillId="0" borderId="36" xfId="33" applyNumberFormat="1" applyFont="1" applyFill="1" applyBorder="1"/>
    <xf numFmtId="5" fontId="49" fillId="0" borderId="31" xfId="33" applyNumberFormat="1" applyFont="1" applyFill="1" applyBorder="1"/>
    <xf numFmtId="5" fontId="49" fillId="0" borderId="1" xfId="33" applyNumberFormat="1" applyFont="1" applyFill="1" applyBorder="1"/>
    <xf numFmtId="5" fontId="49" fillId="0" borderId="25" xfId="33" applyNumberFormat="1" applyFont="1" applyFill="1" applyBorder="1"/>
    <xf numFmtId="41" fontId="23" fillId="0" borderId="21" xfId="0" applyNumberFormat="1" applyFont="1" applyFill="1" applyBorder="1"/>
    <xf numFmtId="37" fontId="23" fillId="0" borderId="22" xfId="33" applyNumberFormat="1" applyFont="1" applyFill="1" applyBorder="1"/>
    <xf numFmtId="37" fontId="49" fillId="0" borderId="20" xfId="33" applyNumberFormat="1" applyFont="1" applyFill="1" applyBorder="1"/>
    <xf numFmtId="37" fontId="8" fillId="0" borderId="0" xfId="33" applyNumberFormat="1" applyFont="1" applyFill="1" applyBorder="1" applyAlignment="1">
      <alignment horizontal="right"/>
    </xf>
    <xf numFmtId="0" fontId="23" fillId="0" borderId="19" xfId="33" applyFont="1" applyFill="1" applyBorder="1" applyAlignment="1">
      <alignment horizontal="center" vertical="top" wrapText="1"/>
    </xf>
    <xf numFmtId="0" fontId="42" fillId="0" borderId="9" xfId="33" applyFont="1" applyFill="1" applyBorder="1" applyAlignment="1">
      <alignment horizontal="center" vertical="center" wrapText="1"/>
    </xf>
    <xf numFmtId="37" fontId="8" fillId="0" borderId="26" xfId="33" applyNumberFormat="1" applyFont="1" applyFill="1" applyBorder="1"/>
    <xf numFmtId="37" fontId="9" fillId="0" borderId="14" xfId="33" applyNumberFormat="1" applyFont="1" applyFill="1" applyBorder="1"/>
    <xf numFmtId="0" fontId="23" fillId="0" borderId="39" xfId="33" applyFont="1" applyFill="1" applyBorder="1" applyAlignment="1">
      <alignment horizontal="center" vertical="top" wrapText="1"/>
    </xf>
    <xf numFmtId="0" fontId="42" fillId="0" borderId="39" xfId="33" applyFont="1" applyFill="1" applyBorder="1" applyAlignment="1">
      <alignment horizontal="center" vertical="center" wrapText="1"/>
    </xf>
    <xf numFmtId="0" fontId="15" fillId="0" borderId="39" xfId="33" applyFont="1" applyFill="1" applyBorder="1" applyAlignment="1">
      <alignment horizontal="center" wrapText="1"/>
    </xf>
    <xf numFmtId="5" fontId="8" fillId="0" borderId="39" xfId="33" applyNumberFormat="1" applyFont="1" applyFill="1" applyBorder="1"/>
    <xf numFmtId="37" fontId="8" fillId="0" borderId="39" xfId="33" applyNumberFormat="1" applyFont="1" applyFill="1" applyBorder="1"/>
    <xf numFmtId="5" fontId="23" fillId="0" borderId="40" xfId="33" applyNumberFormat="1" applyFont="1" applyFill="1" applyBorder="1"/>
    <xf numFmtId="5" fontId="49" fillId="0" borderId="38" xfId="33" applyNumberFormat="1" applyFont="1" applyFill="1" applyBorder="1"/>
    <xf numFmtId="37" fontId="33" fillId="0" borderId="0" xfId="14" applyNumberFormat="1" applyFont="1" applyFill="1" applyBorder="1" applyAlignment="1">
      <alignment horizontal="center" vertical="center" wrapText="1"/>
    </xf>
    <xf numFmtId="37" fontId="23" fillId="0" borderId="0" xfId="33" applyNumberFormat="1" applyFont="1" applyFill="1" applyBorder="1" applyAlignment="1"/>
    <xf numFmtId="5" fontId="23" fillId="0" borderId="0" xfId="33" applyNumberFormat="1" applyFont="1" applyFill="1" applyBorder="1" applyAlignment="1"/>
    <xf numFmtId="37" fontId="23" fillId="0" borderId="8" xfId="33" applyNumberFormat="1" applyFont="1" applyFill="1" applyBorder="1" applyAlignment="1"/>
    <xf numFmtId="5" fontId="23" fillId="0" borderId="2" xfId="33" applyNumberFormat="1" applyFont="1" applyFill="1" applyBorder="1" applyAlignment="1"/>
    <xf numFmtId="5" fontId="23" fillId="0" borderId="2" xfId="34" applyNumberFormat="1" applyFont="1" applyFill="1" applyBorder="1" applyAlignment="1"/>
    <xf numFmtId="5" fontId="23" fillId="0" borderId="11" xfId="33" applyNumberFormat="1" applyFont="1" applyFill="1" applyBorder="1" applyAlignment="1"/>
    <xf numFmtId="5" fontId="49" fillId="0" borderId="3" xfId="33" applyNumberFormat="1" applyFont="1" applyFill="1" applyBorder="1" applyAlignment="1"/>
    <xf numFmtId="165" fontId="23" fillId="0" borderId="3" xfId="34" applyNumberFormat="1" applyFont="1" applyFill="1" applyBorder="1" applyAlignment="1"/>
    <xf numFmtId="37" fontId="23" fillId="0" borderId="0" xfId="0" applyNumberFormat="1" applyFont="1" applyFill="1" applyAlignment="1">
      <alignment vertical="top" wrapText="1"/>
    </xf>
    <xf numFmtId="37" fontId="44" fillId="0" borderId="3" xfId="0" applyNumberFormat="1" applyFont="1" applyFill="1" applyBorder="1" applyAlignment="1">
      <alignment horizontal="left"/>
    </xf>
    <xf numFmtId="37" fontId="40" fillId="0" borderId="0" xfId="0" applyNumberFormat="1" applyFont="1" applyFill="1" applyAlignment="1">
      <alignment vertical="top"/>
    </xf>
    <xf numFmtId="5" fontId="23" fillId="0" borderId="3" xfId="35" applyNumberFormat="1" applyFont="1" applyFill="1" applyBorder="1"/>
    <xf numFmtId="37" fontId="39" fillId="0" borderId="0" xfId="34" applyNumberFormat="1" applyFont="1" applyFill="1" applyBorder="1" applyAlignment="1">
      <alignment horizontal="center"/>
    </xf>
    <xf numFmtId="37" fontId="27" fillId="0" borderId="0" xfId="34" applyNumberFormat="1" applyFont="1" applyFill="1" applyAlignment="1">
      <alignment horizontal="center" vertical="center" wrapText="1"/>
    </xf>
    <xf numFmtId="39" fontId="26" fillId="0" borderId="0" xfId="34" applyNumberFormat="1" applyFont="1" applyFill="1"/>
    <xf numFmtId="0" fontId="15" fillId="0" borderId="33" xfId="33" applyFont="1" applyFill="1" applyBorder="1" applyAlignment="1">
      <alignment horizontal="center" wrapText="1"/>
    </xf>
    <xf numFmtId="0" fontId="15" fillId="0" borderId="31" xfId="33" applyFont="1" applyFill="1" applyBorder="1" applyAlignment="1">
      <alignment horizontal="center" wrapText="1"/>
    </xf>
    <xf numFmtId="0" fontId="15" fillId="0" borderId="1" xfId="33" applyFont="1" applyFill="1" applyBorder="1" applyAlignment="1">
      <alignment horizontal="center" wrapText="1"/>
    </xf>
    <xf numFmtId="0" fontId="15" fillId="0" borderId="14" xfId="33" applyFont="1" applyFill="1" applyBorder="1" applyAlignment="1">
      <alignment horizontal="center" wrapText="1"/>
    </xf>
    <xf numFmtId="0" fontId="15" fillId="0" borderId="38" xfId="33" applyFont="1" applyFill="1" applyBorder="1" applyAlignment="1">
      <alignment horizontal="center" wrapText="1"/>
    </xf>
    <xf numFmtId="0" fontId="15" fillId="0" borderId="20" xfId="33" applyFont="1" applyFill="1" applyBorder="1" applyAlignment="1">
      <alignment horizontal="center" wrapText="1"/>
    </xf>
    <xf numFmtId="0" fontId="15" fillId="0" borderId="25" xfId="33" applyFont="1" applyFill="1" applyBorder="1" applyAlignment="1">
      <alignment horizontal="center" wrapText="1"/>
    </xf>
    <xf numFmtId="5" fontId="23" fillId="0" borderId="9" xfId="14" applyNumberFormat="1" applyFont="1" applyFill="1" applyBorder="1"/>
    <xf numFmtId="10" fontId="23" fillId="0" borderId="16" xfId="14" applyNumberFormat="1" applyFont="1" applyFill="1" applyBorder="1" applyAlignment="1">
      <alignment horizontal="center"/>
    </xf>
    <xf numFmtId="5" fontId="8" fillId="0" borderId="0" xfId="0" applyNumberFormat="1" applyFont="1" applyBorder="1" applyAlignment="1">
      <alignment horizontal="right"/>
    </xf>
    <xf numFmtId="165" fontId="23" fillId="0" borderId="9" xfId="47" applyNumberFormat="1" applyFont="1" applyFill="1" applyBorder="1"/>
    <xf numFmtId="10" fontId="23" fillId="0" borderId="0" xfId="14" applyNumberFormat="1" applyFont="1" applyFill="1" applyBorder="1" applyAlignment="1">
      <alignment horizontal="center"/>
    </xf>
    <xf numFmtId="167" fontId="23" fillId="0" borderId="9" xfId="14" applyNumberFormat="1" applyFont="1" applyFill="1" applyBorder="1" applyAlignment="1">
      <alignment horizontal="center"/>
    </xf>
    <xf numFmtId="5" fontId="49" fillId="0" borderId="0" xfId="14" applyNumberFormat="1" applyFont="1" applyFill="1" applyBorder="1"/>
    <xf numFmtId="37" fontId="23" fillId="0" borderId="9" xfId="14" applyNumberFormat="1" applyFont="1" applyFill="1" applyBorder="1"/>
    <xf numFmtId="37" fontId="23" fillId="0" borderId="9" xfId="47" applyNumberFormat="1" applyFont="1" applyFill="1" applyBorder="1" applyAlignment="1">
      <alignment horizontal="right"/>
    </xf>
    <xf numFmtId="3" fontId="23" fillId="0" borderId="9" xfId="47" applyNumberFormat="1" applyFont="1" applyFill="1" applyBorder="1"/>
    <xf numFmtId="37" fontId="49" fillId="0" borderId="0" xfId="14" applyNumberFormat="1" applyFont="1" applyFill="1" applyBorder="1"/>
    <xf numFmtId="3" fontId="23" fillId="0" borderId="9" xfId="14" applyNumberFormat="1" applyFont="1" applyFill="1" applyBorder="1"/>
    <xf numFmtId="168" fontId="23" fillId="0" borderId="0" xfId="14" applyNumberFormat="1" applyFont="1" applyFill="1" applyBorder="1"/>
    <xf numFmtId="0" fontId="23" fillId="0" borderId="9" xfId="14" applyFont="1" applyFill="1" applyBorder="1" applyAlignment="1">
      <alignment horizontal="right"/>
    </xf>
    <xf numFmtId="3" fontId="23" fillId="0" borderId="16" xfId="14" applyNumberFormat="1" applyFont="1" applyFill="1" applyBorder="1" applyAlignment="1">
      <alignment horizontal="center"/>
    </xf>
    <xf numFmtId="0" fontId="23" fillId="0" borderId="9" xfId="14" applyFont="1" applyFill="1" applyBorder="1"/>
    <xf numFmtId="3" fontId="23" fillId="0" borderId="9" xfId="14" applyNumberFormat="1" applyFont="1" applyFill="1" applyBorder="1" applyAlignment="1">
      <alignment horizontal="center"/>
    </xf>
    <xf numFmtId="0" fontId="23" fillId="0" borderId="8" xfId="14" applyFont="1" applyFill="1" applyBorder="1"/>
    <xf numFmtId="5" fontId="23" fillId="0" borderId="17" xfId="14" applyNumberFormat="1" applyFont="1" applyFill="1" applyBorder="1"/>
    <xf numFmtId="10" fontId="23" fillId="0" borderId="8" xfId="14" applyNumberFormat="1" applyFont="1" applyFill="1" applyBorder="1" applyAlignment="1">
      <alignment horizontal="center"/>
    </xf>
    <xf numFmtId="5" fontId="23" fillId="0" borderId="17" xfId="14" applyNumberFormat="1" applyFont="1" applyFill="1" applyBorder="1" applyAlignment="1">
      <alignment horizontal="right"/>
    </xf>
    <xf numFmtId="10" fontId="23" fillId="0" borderId="18" xfId="14" applyNumberFormat="1" applyFont="1" applyFill="1" applyBorder="1" applyAlignment="1">
      <alignment horizontal="center"/>
    </xf>
    <xf numFmtId="165" fontId="23" fillId="0" borderId="17" xfId="14" applyNumberFormat="1" applyFont="1" applyFill="1" applyBorder="1"/>
    <xf numFmtId="10" fontId="23" fillId="0" borderId="17" xfId="14" applyNumberFormat="1" applyFont="1" applyFill="1" applyBorder="1" applyAlignment="1">
      <alignment horizontal="center"/>
    </xf>
    <xf numFmtId="5" fontId="49" fillId="0" borderId="8" xfId="10" applyNumberFormat="1" applyFont="1" applyFill="1" applyBorder="1"/>
    <xf numFmtId="37" fontId="49" fillId="0" borderId="1" xfId="0" quotePrefix="1" applyNumberFormat="1" applyFont="1" applyFill="1" applyBorder="1" applyAlignment="1">
      <alignment horizontal="center"/>
    </xf>
    <xf numFmtId="37" fontId="49" fillId="2" borderId="26" xfId="0" applyNumberFormat="1" applyFont="1" applyFill="1" applyBorder="1" applyAlignment="1">
      <alignment horizontal="center" vertical="center"/>
    </xf>
    <xf numFmtId="37" fontId="49" fillId="2" borderId="29" xfId="0" applyNumberFormat="1" applyFont="1" applyFill="1" applyBorder="1" applyAlignment="1">
      <alignment horizontal="center" vertical="center"/>
    </xf>
    <xf numFmtId="41" fontId="8" fillId="0" borderId="0" xfId="33" applyNumberFormat="1" applyFont="1" applyFill="1"/>
    <xf numFmtId="37" fontId="43" fillId="0" borderId="0" xfId="34" applyNumberFormat="1" applyFont="1" applyFill="1" applyBorder="1" applyAlignment="1">
      <alignment horizontal="center" wrapText="1"/>
    </xf>
    <xf numFmtId="37" fontId="25" fillId="0" borderId="0" xfId="14" applyNumberFormat="1" applyFont="1" applyFill="1" applyAlignment="1">
      <alignment horizontal="left"/>
    </xf>
    <xf numFmtId="37" fontId="25" fillId="0" borderId="0" xfId="14" applyNumberFormat="1" applyFont="1" applyFill="1" applyBorder="1" applyAlignment="1">
      <alignment horizontal="left"/>
    </xf>
    <xf numFmtId="37" fontId="26" fillId="0" borderId="0" xfId="14" applyNumberFormat="1" applyFont="1" applyFill="1" applyAlignment="1">
      <alignment horizontal="left"/>
    </xf>
    <xf numFmtId="168" fontId="59" fillId="0" borderId="0" xfId="23" applyNumberFormat="1" applyFont="1" applyFill="1" applyAlignment="1">
      <alignment horizontal="center"/>
    </xf>
    <xf numFmtId="38" fontId="59" fillId="0" borderId="0" xfId="0" applyNumberFormat="1" applyFont="1" applyFill="1" applyAlignment="1">
      <alignment horizontal="center"/>
    </xf>
    <xf numFmtId="37" fontId="33" fillId="0" borderId="0" xfId="0" applyNumberFormat="1" applyFont="1" applyFill="1" applyBorder="1" applyAlignment="1">
      <alignment horizontal="center" vertical="center" wrapText="1"/>
    </xf>
    <xf numFmtId="37" fontId="60" fillId="0" borderId="0" xfId="35" applyNumberFormat="1" applyFont="1" applyFill="1" applyBorder="1" applyAlignment="1">
      <alignment horizontal="left"/>
    </xf>
    <xf numFmtId="37" fontId="49" fillId="0" borderId="0" xfId="34" applyNumberFormat="1" applyFont="1" applyFill="1" applyBorder="1" applyAlignment="1">
      <alignment wrapText="1"/>
    </xf>
    <xf numFmtId="37" fontId="49" fillId="0" borderId="0" xfId="34" applyNumberFormat="1" applyFont="1" applyFill="1" applyBorder="1" applyAlignment="1">
      <alignment horizontal="center" wrapText="1"/>
    </xf>
    <xf numFmtId="37" fontId="49" fillId="0" borderId="0" xfId="35" applyNumberFormat="1" applyFont="1" applyFill="1" applyBorder="1" applyAlignment="1">
      <alignment horizontal="center" wrapText="1"/>
    </xf>
    <xf numFmtId="37" fontId="49" fillId="0" borderId="0" xfId="34" applyNumberFormat="1" applyFont="1" applyFill="1" applyAlignment="1">
      <alignment wrapText="1"/>
    </xf>
    <xf numFmtId="37" fontId="49" fillId="0" borderId="8" xfId="35" quotePrefix="1" applyNumberFormat="1" applyFont="1" applyFill="1" applyBorder="1" applyAlignment="1">
      <alignment horizontal="center" wrapText="1"/>
    </xf>
    <xf numFmtId="37" fontId="57" fillId="0" borderId="0" xfId="35" applyNumberFormat="1" applyFont="1" applyFill="1" applyBorder="1" applyAlignment="1">
      <alignment horizontal="left"/>
    </xf>
    <xf numFmtId="37" fontId="33" fillId="0" borderId="0" xfId="34" quotePrefix="1" applyNumberFormat="1" applyFont="1" applyFill="1" applyBorder="1" applyAlignment="1">
      <alignment horizontal="center" vertical="center" wrapText="1"/>
    </xf>
    <xf numFmtId="5" fontId="23" fillId="0" borderId="1" xfId="34" applyNumberFormat="1" applyFont="1" applyFill="1" applyBorder="1"/>
    <xf numFmtId="5" fontId="23" fillId="0" borderId="3" xfId="34" applyNumberFormat="1" applyFont="1" applyFill="1" applyBorder="1"/>
    <xf numFmtId="5" fontId="23" fillId="0" borderId="3" xfId="35" applyNumberFormat="1" applyFont="1" applyFill="1" applyBorder="1" applyAlignment="1">
      <alignment horizontal="right"/>
    </xf>
    <xf numFmtId="37" fontId="24" fillId="0" borderId="1" xfId="0" applyNumberFormat="1" applyFont="1" applyFill="1" applyBorder="1" applyAlignment="1">
      <alignment horizontal="center" wrapText="1"/>
    </xf>
    <xf numFmtId="37" fontId="23" fillId="0" borderId="0" xfId="0" applyNumberFormat="1" applyFont="1" applyFill="1" applyAlignment="1">
      <alignment horizontal="left" vertical="top" wrapText="1"/>
    </xf>
    <xf numFmtId="37" fontId="49" fillId="0" borderId="8" xfId="34" applyNumberFormat="1" applyFont="1" applyFill="1" applyBorder="1" applyAlignment="1">
      <alignment horizontal="center" wrapText="1"/>
    </xf>
    <xf numFmtId="37" fontId="57" fillId="0" borderId="0" xfId="35" applyNumberFormat="1" applyFont="1" applyFill="1" applyBorder="1" applyAlignment="1">
      <alignment horizontal="left" vertical="center"/>
    </xf>
    <xf numFmtId="165" fontId="23" fillId="0" borderId="0" xfId="0" applyNumberFormat="1" applyFont="1"/>
    <xf numFmtId="3" fontId="23" fillId="0" borderId="0" xfId="0" applyNumberFormat="1" applyFont="1"/>
    <xf numFmtId="37" fontId="39" fillId="0" borderId="0" xfId="0" applyNumberFormat="1" applyFont="1" applyFill="1"/>
    <xf numFmtId="37" fontId="24" fillId="0" borderId="0" xfId="0" applyNumberFormat="1" applyFont="1" applyFill="1" applyAlignment="1">
      <alignment horizontal="center"/>
    </xf>
    <xf numFmtId="37" fontId="24" fillId="0" borderId="0" xfId="0" applyNumberFormat="1" applyFont="1" applyFill="1"/>
    <xf numFmtId="37" fontId="27" fillId="0" borderId="0" xfId="0" applyNumberFormat="1" applyFont="1" applyFill="1"/>
    <xf numFmtId="37" fontId="27" fillId="0" borderId="0" xfId="0" applyNumberFormat="1" applyFont="1" applyFill="1" applyAlignment="1">
      <alignment horizontal="center"/>
    </xf>
    <xf numFmtId="37" fontId="27" fillId="0" borderId="0" xfId="0" quotePrefix="1" applyNumberFormat="1" applyFont="1" applyFill="1" applyAlignment="1">
      <alignment horizontal="center"/>
    </xf>
    <xf numFmtId="37" fontId="26" fillId="0" borderId="0" xfId="0" applyNumberFormat="1" applyFont="1" applyFill="1"/>
    <xf numFmtId="37" fontId="26" fillId="0" borderId="0" xfId="0" applyNumberFormat="1" applyFont="1" applyFill="1" applyAlignment="1">
      <alignment horizontal="center"/>
    </xf>
    <xf numFmtId="37" fontId="24" fillId="0" borderId="5" xfId="0" applyNumberFormat="1" applyFont="1" applyFill="1" applyBorder="1" applyAlignment="1">
      <alignment horizontal="center" wrapText="1"/>
    </xf>
    <xf numFmtId="37" fontId="54" fillId="0" borderId="0" xfId="0" applyNumberFormat="1" applyFont="1" applyFill="1" applyBorder="1" applyAlignment="1">
      <alignment horizontal="left"/>
    </xf>
    <xf numFmtId="37" fontId="33" fillId="0" borderId="9" xfId="0" applyNumberFormat="1" applyFont="1" applyFill="1" applyBorder="1" applyAlignment="1">
      <alignment horizontal="center" vertical="center"/>
    </xf>
    <xf numFmtId="37" fontId="33" fillId="0" borderId="16" xfId="0" applyNumberFormat="1" applyFont="1" applyFill="1" applyBorder="1" applyAlignment="1">
      <alignment horizontal="center" vertical="center"/>
    </xf>
    <xf numFmtId="37" fontId="33" fillId="0" borderId="4" xfId="0" applyNumberFormat="1" applyFont="1" applyFill="1" applyBorder="1" applyAlignment="1">
      <alignment horizontal="center" vertical="center" wrapText="1"/>
    </xf>
    <xf numFmtId="37" fontId="63" fillId="0" borderId="4" xfId="0" applyNumberFormat="1" applyFont="1" applyFill="1" applyBorder="1" applyAlignment="1">
      <alignment horizontal="center" vertical="center" wrapText="1"/>
    </xf>
    <xf numFmtId="37" fontId="33" fillId="0" borderId="9" xfId="0" applyNumberFormat="1" applyFont="1" applyFill="1" applyBorder="1" applyAlignment="1">
      <alignment horizontal="center" vertical="center" wrapText="1"/>
    </xf>
    <xf numFmtId="37" fontId="33" fillId="0" borderId="4" xfId="0" applyNumberFormat="1" applyFont="1" applyFill="1" applyBorder="1" applyAlignment="1">
      <alignment horizontal="center" vertical="center"/>
    </xf>
    <xf numFmtId="37" fontId="33" fillId="0" borderId="0" xfId="0" applyNumberFormat="1" applyFont="1" applyFill="1" applyAlignment="1">
      <alignment horizontal="center" vertical="center"/>
    </xf>
    <xf numFmtId="37" fontId="23" fillId="0" borderId="9" xfId="0" applyNumberFormat="1" applyFont="1" applyFill="1" applyBorder="1"/>
    <xf numFmtId="37" fontId="23" fillId="0" borderId="16" xfId="0" applyNumberFormat="1" applyFont="1" applyFill="1" applyBorder="1"/>
    <xf numFmtId="37" fontId="23" fillId="0" borderId="4" xfId="0" applyNumberFormat="1" applyFont="1" applyFill="1" applyBorder="1" applyAlignment="1"/>
    <xf numFmtId="37" fontId="33" fillId="0" borderId="0" xfId="0" applyNumberFormat="1" applyFont="1" applyFill="1" applyBorder="1" applyAlignment="1">
      <alignment horizontal="center" wrapText="1"/>
    </xf>
    <xf numFmtId="37" fontId="33" fillId="0" borderId="4" xfId="0" applyNumberFormat="1" applyFont="1" applyFill="1" applyBorder="1" applyAlignment="1">
      <alignment horizontal="center" wrapText="1"/>
    </xf>
    <xf numFmtId="37" fontId="33" fillId="0" borderId="9" xfId="0" applyNumberFormat="1" applyFont="1" applyFill="1" applyBorder="1" applyAlignment="1">
      <alignment horizontal="center" wrapText="1"/>
    </xf>
    <xf numFmtId="37" fontId="23" fillId="0" borderId="4" xfId="0" applyNumberFormat="1" applyFont="1" applyFill="1" applyBorder="1"/>
    <xf numFmtId="5" fontId="23" fillId="0" borderId="0" xfId="0" applyNumberFormat="1" applyFont="1" applyFill="1" applyAlignment="1"/>
    <xf numFmtId="5" fontId="23" fillId="0" borderId="9" xfId="0" applyNumberFormat="1" applyFont="1" applyFill="1" applyBorder="1" applyAlignment="1"/>
    <xf numFmtId="5" fontId="23" fillId="0" borderId="16" xfId="0" applyNumberFormat="1" applyFont="1" applyFill="1" applyBorder="1" applyAlignment="1"/>
    <xf numFmtId="5" fontId="64" fillId="0" borderId="0" xfId="13" applyNumberFormat="1" applyFont="1" applyFill="1" applyAlignment="1"/>
    <xf numFmtId="5" fontId="23" fillId="0" borderId="4" xfId="0" applyNumberFormat="1" applyFont="1" applyFill="1" applyBorder="1" applyAlignment="1"/>
    <xf numFmtId="5" fontId="23" fillId="0" borderId="0" xfId="0" applyNumberFormat="1" applyFont="1" applyAlignment="1"/>
    <xf numFmtId="5" fontId="23" fillId="0" borderId="4" xfId="0" applyNumberFormat="1" applyFont="1" applyFill="1" applyBorder="1" applyAlignment="1">
      <alignment horizontal="right" vertical="center"/>
    </xf>
    <xf numFmtId="5" fontId="23" fillId="0" borderId="0" xfId="0" applyNumberFormat="1" applyFont="1" applyFill="1" applyBorder="1" applyAlignment="1">
      <alignment horizontal="right" vertical="center"/>
    </xf>
    <xf numFmtId="5" fontId="24" fillId="0" borderId="9" xfId="0" applyNumberFormat="1" applyFont="1" applyFill="1" applyBorder="1" applyAlignment="1">
      <alignment horizontal="right" vertical="center"/>
    </xf>
    <xf numFmtId="5" fontId="24" fillId="0" borderId="0" xfId="0" applyNumberFormat="1" applyFont="1" applyFill="1" applyBorder="1" applyAlignment="1">
      <alignment horizontal="right" vertical="center"/>
    </xf>
    <xf numFmtId="5" fontId="24" fillId="0" borderId="16" xfId="0" applyNumberFormat="1" applyFont="1" applyFill="1" applyBorder="1"/>
    <xf numFmtId="5" fontId="24" fillId="0" borderId="0" xfId="0" applyNumberFormat="1" applyFont="1" applyFill="1"/>
    <xf numFmtId="37" fontId="23" fillId="0" borderId="9" xfId="0" applyNumberFormat="1" applyFont="1" applyFill="1" applyBorder="1" applyAlignment="1"/>
    <xf numFmtId="37" fontId="23" fillId="0" borderId="16" xfId="0" applyNumberFormat="1" applyFont="1" applyFill="1" applyBorder="1" applyAlignment="1"/>
    <xf numFmtId="37" fontId="64" fillId="0" borderId="0" xfId="13" applyNumberFormat="1" applyFont="1" applyFill="1" applyAlignment="1"/>
    <xf numFmtId="37" fontId="23" fillId="0" borderId="4" xfId="13" applyNumberFormat="1" applyFont="1" applyFill="1" applyBorder="1" applyAlignment="1"/>
    <xf numFmtId="37" fontId="23" fillId="0" borderId="0" xfId="13" applyNumberFormat="1" applyFont="1" applyFill="1" applyBorder="1" applyAlignment="1"/>
    <xf numFmtId="37" fontId="23" fillId="0" borderId="0" xfId="0" applyNumberFormat="1" applyFont="1" applyAlignment="1"/>
    <xf numFmtId="37" fontId="23" fillId="0" borderId="4" xfId="0" applyNumberFormat="1" applyFont="1" applyFill="1" applyBorder="1" applyAlignment="1">
      <alignment horizontal="right" vertical="center"/>
    </xf>
    <xf numFmtId="37" fontId="23" fillId="0" borderId="0" xfId="0" applyNumberFormat="1" applyFont="1" applyFill="1" applyBorder="1" applyAlignment="1">
      <alignment horizontal="right" vertical="center"/>
    </xf>
    <xf numFmtId="37" fontId="24" fillId="0" borderId="9" xfId="0" applyNumberFormat="1" applyFont="1" applyFill="1" applyBorder="1" applyAlignment="1">
      <alignment horizontal="right" vertical="center"/>
    </xf>
    <xf numFmtId="37" fontId="24" fillId="0" borderId="0" xfId="0" applyNumberFormat="1" applyFont="1" applyFill="1" applyBorder="1" applyAlignment="1">
      <alignment horizontal="right" vertical="center"/>
    </xf>
    <xf numFmtId="37" fontId="24" fillId="0" borderId="16" xfId="0" applyNumberFormat="1" applyFont="1" applyFill="1" applyBorder="1"/>
    <xf numFmtId="37" fontId="44" fillId="0" borderId="0" xfId="0" applyNumberFormat="1" applyFont="1" applyFill="1" applyBorder="1" applyAlignment="1">
      <alignment horizontal="left" vertical="center"/>
    </xf>
    <xf numFmtId="5" fontId="23" fillId="0" borderId="26" xfId="0" applyNumberFormat="1" applyFont="1" applyFill="1" applyBorder="1" applyAlignment="1"/>
    <xf numFmtId="5" fontId="23" fillId="0" borderId="29" xfId="0" applyNumberFormat="1" applyFont="1" applyFill="1" applyBorder="1" applyAlignment="1"/>
    <xf numFmtId="5" fontId="23" fillId="0" borderId="6" xfId="0" applyNumberFormat="1" applyFont="1" applyFill="1" applyBorder="1" applyAlignment="1"/>
    <xf numFmtId="5" fontId="23" fillId="0" borderId="6" xfId="0" applyNumberFormat="1" applyFont="1" applyFill="1" applyBorder="1"/>
    <xf numFmtId="10" fontId="23" fillId="0" borderId="26" xfId="0" applyNumberFormat="1" applyFont="1" applyFill="1" applyBorder="1"/>
    <xf numFmtId="5" fontId="24" fillId="0" borderId="29" xfId="0" applyNumberFormat="1" applyFont="1" applyFill="1" applyBorder="1"/>
    <xf numFmtId="38" fontId="23" fillId="0" borderId="0" xfId="0" applyNumberFormat="1" applyFont="1" applyFill="1" applyAlignment="1"/>
    <xf numFmtId="37" fontId="44" fillId="0" borderId="0" xfId="0" applyNumberFormat="1" applyFont="1" applyFill="1" applyBorder="1" applyAlignment="1">
      <alignment horizontal="left"/>
    </xf>
    <xf numFmtId="37" fontId="44" fillId="0" borderId="0" xfId="0" applyNumberFormat="1" applyFont="1" applyFill="1" applyBorder="1" applyAlignment="1"/>
    <xf numFmtId="37" fontId="23" fillId="0" borderId="41" xfId="0" applyNumberFormat="1" applyFont="1" applyFill="1" applyBorder="1"/>
    <xf numFmtId="5" fontId="23" fillId="0" borderId="14" xfId="0" applyNumberFormat="1" applyFont="1" applyFill="1" applyBorder="1" applyAlignment="1"/>
    <xf numFmtId="5" fontId="23" fillId="0" borderId="15" xfId="0" applyNumberFormat="1" applyFont="1" applyFill="1" applyBorder="1" applyAlignment="1"/>
    <xf numFmtId="5" fontId="23" fillId="0" borderId="7" xfId="0" applyNumberFormat="1" applyFont="1" applyFill="1" applyBorder="1" applyAlignment="1"/>
    <xf numFmtId="37" fontId="23" fillId="0" borderId="7" xfId="0" applyNumberFormat="1" applyFont="1" applyFill="1" applyBorder="1"/>
    <xf numFmtId="170" fontId="23" fillId="0" borderId="14" xfId="0" applyNumberFormat="1" applyFont="1" applyFill="1" applyBorder="1"/>
    <xf numFmtId="5" fontId="24" fillId="0" borderId="15" xfId="0" applyNumberFormat="1" applyFont="1" applyFill="1" applyBorder="1"/>
    <xf numFmtId="37" fontId="23" fillId="0" borderId="0" xfId="0" applyNumberFormat="1" applyFont="1" applyFill="1" applyBorder="1" applyAlignment="1">
      <alignment horizontal="right" indent="1"/>
    </xf>
    <xf numFmtId="37" fontId="23" fillId="0" borderId="0" xfId="0" applyNumberFormat="1" applyFont="1" applyFill="1" applyAlignment="1">
      <alignment horizontal="left" wrapText="1"/>
    </xf>
    <xf numFmtId="170" fontId="23" fillId="0" borderId="0" xfId="0" applyNumberFormat="1" applyFont="1" applyFill="1" applyAlignment="1">
      <alignment vertical="top"/>
    </xf>
    <xf numFmtId="37" fontId="27" fillId="0" borderId="0" xfId="0" quotePrefix="1" applyNumberFormat="1" applyFont="1" applyFill="1" applyBorder="1" applyAlignment="1">
      <alignment horizontal="center"/>
    </xf>
    <xf numFmtId="5" fontId="23" fillId="0" borderId="0" xfId="13" applyNumberFormat="1" applyFont="1" applyFill="1"/>
    <xf numFmtId="37" fontId="23" fillId="0" borderId="0" xfId="13" applyNumberFormat="1" applyFont="1" applyFill="1"/>
    <xf numFmtId="37" fontId="23" fillId="0" borderId="0" xfId="14" applyNumberFormat="1" applyFont="1" applyFill="1" applyBorder="1" applyAlignment="1"/>
    <xf numFmtId="37" fontId="23" fillId="0" borderId="0" xfId="0" applyNumberFormat="1" applyFont="1" applyFill="1" applyBorder="1" applyAlignment="1">
      <alignment vertical="top" wrapText="1"/>
    </xf>
    <xf numFmtId="37" fontId="24" fillId="0" borderId="0" xfId="0" applyNumberFormat="1" applyFont="1" applyFill="1" applyBorder="1" applyAlignment="1">
      <alignment horizontal="center" wrapText="1"/>
    </xf>
    <xf numFmtId="37" fontId="27" fillId="0" borderId="0" xfId="0" applyNumberFormat="1" applyFont="1" applyFill="1" applyBorder="1"/>
    <xf numFmtId="37" fontId="26" fillId="0" borderId="0" xfId="0" applyNumberFormat="1" applyFont="1" applyFill="1" applyBorder="1"/>
    <xf numFmtId="37" fontId="40" fillId="0" borderId="0" xfId="0" applyNumberFormat="1" applyFont="1" applyFill="1" applyAlignment="1">
      <alignment horizontal="left" vertical="top" wrapText="1"/>
    </xf>
    <xf numFmtId="37" fontId="38" fillId="2" borderId="10" xfId="0" applyNumberFormat="1" applyFont="1" applyFill="1" applyBorder="1" applyAlignment="1">
      <alignment horizontal="center" wrapText="1"/>
    </xf>
    <xf numFmtId="37" fontId="38" fillId="2" borderId="30" xfId="0" applyNumberFormat="1" applyFont="1" applyFill="1" applyBorder="1" applyAlignment="1">
      <alignment horizontal="center" wrapText="1"/>
    </xf>
    <xf numFmtId="37" fontId="38" fillId="2" borderId="17" xfId="0" applyNumberFormat="1" applyFont="1" applyFill="1" applyBorder="1" applyAlignment="1">
      <alignment horizontal="center" wrapText="1"/>
    </xf>
    <xf numFmtId="37" fontId="38" fillId="2" borderId="18" xfId="0" applyNumberFormat="1" applyFont="1" applyFill="1" applyBorder="1" applyAlignment="1">
      <alignment horizontal="center" wrapText="1"/>
    </xf>
    <xf numFmtId="37" fontId="24" fillId="0" borderId="3" xfId="0" applyNumberFormat="1" applyFont="1" applyFill="1" applyBorder="1" applyAlignment="1">
      <alignment horizontal="center" wrapText="1"/>
    </xf>
    <xf numFmtId="37" fontId="27" fillId="0" borderId="27" xfId="0" applyNumberFormat="1" applyFont="1" applyFill="1" applyBorder="1" applyAlignment="1">
      <alignment horizontal="center" vertical="center"/>
    </xf>
    <xf numFmtId="37" fontId="27" fillId="0" borderId="27" xfId="0" applyNumberFormat="1" applyFont="1" applyFill="1" applyBorder="1" applyAlignment="1">
      <alignment horizontal="center" vertical="center" wrapText="1"/>
    </xf>
    <xf numFmtId="37" fontId="27" fillId="0" borderId="8" xfId="0" applyNumberFormat="1" applyFont="1" applyFill="1" applyBorder="1" applyAlignment="1">
      <alignment horizontal="center"/>
    </xf>
    <xf numFmtId="37" fontId="48" fillId="0" borderId="0" xfId="0" applyNumberFormat="1" applyFont="1" applyFill="1" applyBorder="1" applyAlignment="1">
      <alignment horizontal="center" wrapText="1"/>
    </xf>
    <xf numFmtId="37" fontId="38" fillId="0" borderId="0" xfId="0" applyNumberFormat="1" applyFont="1" applyFill="1" applyBorder="1" applyAlignment="1">
      <alignment horizontal="center" wrapText="1"/>
    </xf>
    <xf numFmtId="37" fontId="27" fillId="0" borderId="27" xfId="0" quotePrefix="1" applyNumberFormat="1" applyFont="1" applyFill="1" applyBorder="1" applyAlignment="1">
      <alignment horizontal="center" vertical="center"/>
    </xf>
    <xf numFmtId="37" fontId="24" fillId="0" borderId="11" xfId="0" applyNumberFormat="1" applyFont="1" applyFill="1" applyBorder="1" applyAlignment="1">
      <alignment horizontal="center" wrapText="1"/>
    </xf>
    <xf numFmtId="37" fontId="24" fillId="0" borderId="1" xfId="0" applyNumberFormat="1" applyFont="1" applyFill="1" applyBorder="1" applyAlignment="1">
      <alignment horizontal="center" wrapText="1"/>
    </xf>
    <xf numFmtId="37" fontId="23" fillId="0" borderId="0" xfId="0" applyNumberFormat="1" applyFont="1" applyFill="1" applyAlignment="1">
      <alignment horizontal="left" vertical="top" wrapText="1"/>
    </xf>
    <xf numFmtId="37" fontId="27" fillId="0" borderId="10" xfId="0" applyNumberFormat="1" applyFont="1" applyFill="1" applyBorder="1" applyAlignment="1">
      <alignment horizontal="center" wrapText="1"/>
    </xf>
    <xf numFmtId="37" fontId="27" fillId="0" borderId="11" xfId="0" applyNumberFormat="1" applyFont="1" applyFill="1" applyBorder="1" applyAlignment="1">
      <alignment horizontal="center" wrapText="1"/>
    </xf>
    <xf numFmtId="37" fontId="27" fillId="0" borderId="30" xfId="0" applyNumberFormat="1" applyFont="1" applyFill="1" applyBorder="1" applyAlignment="1">
      <alignment horizontal="center" wrapText="1"/>
    </xf>
    <xf numFmtId="37" fontId="56" fillId="0" borderId="0" xfId="14" applyNumberFormat="1" applyFont="1" applyFill="1" applyBorder="1" applyAlignment="1">
      <alignment horizontal="center" vertical="center" wrapText="1"/>
    </xf>
    <xf numFmtId="37" fontId="24" fillId="0" borderId="0" xfId="0" applyNumberFormat="1" applyFont="1" applyFill="1" applyBorder="1" applyAlignment="1">
      <alignment horizontal="center" wrapText="1"/>
    </xf>
    <xf numFmtId="37" fontId="27" fillId="0" borderId="10" xfId="34" applyNumberFormat="1" applyFont="1" applyFill="1" applyBorder="1" applyAlignment="1">
      <alignment horizontal="center" wrapText="1"/>
    </xf>
    <xf numFmtId="37" fontId="27" fillId="0" borderId="11" xfId="34" applyNumberFormat="1" applyFont="1" applyFill="1" applyBorder="1" applyAlignment="1">
      <alignment horizontal="center" wrapText="1"/>
    </xf>
    <xf numFmtId="37" fontId="27" fillId="0" borderId="30" xfId="34" applyNumberFormat="1" applyFont="1" applyFill="1" applyBorder="1" applyAlignment="1">
      <alignment horizontal="center" wrapText="1"/>
    </xf>
    <xf numFmtId="37" fontId="24" fillId="0" borderId="10" xfId="0" applyNumberFormat="1" applyFont="1" applyFill="1" applyBorder="1" applyAlignment="1">
      <alignment horizontal="center" wrapText="1"/>
    </xf>
    <xf numFmtId="37" fontId="24" fillId="0" borderId="30" xfId="0" applyNumberFormat="1" applyFont="1" applyFill="1" applyBorder="1" applyAlignment="1">
      <alignment horizontal="center" wrapText="1"/>
    </xf>
    <xf numFmtId="37" fontId="24" fillId="0" borderId="0" xfId="14" applyNumberFormat="1" applyFont="1" applyFill="1" applyBorder="1" applyAlignment="1">
      <alignment horizontal="center" wrapText="1"/>
    </xf>
    <xf numFmtId="37" fontId="23" fillId="0" borderId="0" xfId="0" applyNumberFormat="1" applyFont="1" applyFill="1" applyAlignment="1">
      <alignment horizontal="left" wrapText="1"/>
    </xf>
    <xf numFmtId="37" fontId="49" fillId="0" borderId="8" xfId="34" applyNumberFormat="1" applyFont="1" applyFill="1" applyBorder="1" applyAlignment="1">
      <alignment horizontal="center" wrapText="1"/>
    </xf>
    <xf numFmtId="0" fontId="14" fillId="0" borderId="35" xfId="33" applyFont="1" applyFill="1" applyBorder="1" applyAlignment="1">
      <alignment horizontal="center" wrapText="1"/>
    </xf>
    <xf numFmtId="0" fontId="14" fillId="0" borderId="27" xfId="33" applyFont="1" applyFill="1" applyBorder="1" applyAlignment="1">
      <alignment horizontal="center" wrapText="1"/>
    </xf>
    <xf numFmtId="0" fontId="14" fillId="0" borderId="34" xfId="33" applyFont="1" applyFill="1" applyBorder="1" applyAlignment="1">
      <alignment horizontal="center" wrapText="1"/>
    </xf>
    <xf numFmtId="37" fontId="11" fillId="0" borderId="21" xfId="14" applyNumberFormat="1" applyFont="1" applyFill="1" applyBorder="1" applyAlignment="1">
      <alignment horizontal="center" wrapText="1"/>
    </xf>
    <xf numFmtId="0" fontId="23" fillId="0" borderId="35" xfId="33" applyFont="1" applyFill="1" applyBorder="1" applyAlignment="1">
      <alignment horizontal="center" vertical="top" wrapText="1"/>
    </xf>
    <xf numFmtId="0" fontId="23" fillId="0" borderId="27" xfId="33" applyFont="1" applyFill="1" applyBorder="1" applyAlignment="1">
      <alignment horizontal="center" vertical="top" wrapText="1"/>
    </xf>
    <xf numFmtId="0" fontId="15" fillId="0" borderId="14" xfId="33" applyFont="1" applyFill="1" applyBorder="1" applyAlignment="1">
      <alignment horizontal="center" wrapText="1"/>
    </xf>
    <xf numFmtId="0" fontId="15" fillId="0" borderId="3" xfId="33" applyFont="1" applyFill="1" applyBorder="1" applyAlignment="1">
      <alignment horizontal="center" wrapText="1"/>
    </xf>
    <xf numFmtId="0" fontId="15" fillId="0" borderId="15" xfId="33" applyFont="1" applyFill="1" applyBorder="1" applyAlignment="1">
      <alignment horizontal="center" wrapText="1"/>
    </xf>
    <xf numFmtId="0" fontId="27" fillId="0" borderId="26" xfId="14" quotePrefix="1" applyFont="1" applyFill="1" applyBorder="1" applyAlignment="1">
      <alignment horizontal="center" wrapText="1"/>
    </xf>
    <xf numFmtId="0" fontId="27" fillId="0" borderId="2" xfId="14" quotePrefix="1" applyFont="1" applyFill="1" applyBorder="1" applyAlignment="1">
      <alignment horizontal="center" wrapText="1"/>
    </xf>
    <xf numFmtId="0" fontId="27" fillId="0" borderId="29" xfId="14" quotePrefix="1" applyFont="1" applyFill="1" applyBorder="1" applyAlignment="1">
      <alignment horizontal="center" wrapText="1"/>
    </xf>
    <xf numFmtId="0" fontId="24" fillId="0" borderId="12" xfId="14" quotePrefix="1" applyFont="1" applyFill="1" applyBorder="1" applyAlignment="1">
      <alignment horizontal="center" wrapText="1"/>
    </xf>
    <xf numFmtId="0" fontId="24" fillId="0" borderId="13" xfId="14" quotePrefix="1" applyFont="1" applyFill="1" applyBorder="1" applyAlignment="1">
      <alignment horizontal="center" wrapText="1"/>
    </xf>
    <xf numFmtId="0" fontId="23" fillId="0" borderId="12" xfId="14" applyFont="1" applyFill="1" applyBorder="1" applyAlignment="1">
      <alignment horizontal="center" wrapText="1"/>
    </xf>
    <xf numFmtId="0" fontId="23" fillId="0" borderId="13" xfId="14" applyFont="1" applyFill="1" applyBorder="1" applyAlignment="1">
      <alignment horizontal="center" wrapText="1"/>
    </xf>
    <xf numFmtId="0" fontId="23" fillId="0" borderId="14" xfId="14" applyFont="1" applyFill="1" applyBorder="1" applyAlignment="1">
      <alignment horizontal="center" wrapText="1"/>
    </xf>
    <xf numFmtId="0" fontId="23" fillId="0" borderId="15" xfId="14" applyFont="1" applyFill="1" applyBorder="1" applyAlignment="1">
      <alignment horizontal="center" wrapText="1"/>
    </xf>
    <xf numFmtId="0" fontId="27" fillId="0" borderId="12" xfId="14" applyFont="1" applyFill="1" applyBorder="1" applyAlignment="1">
      <alignment horizontal="center" wrapText="1"/>
    </xf>
    <xf numFmtId="0" fontId="27" fillId="0" borderId="1" xfId="14" applyFont="1" applyFill="1" applyBorder="1" applyAlignment="1">
      <alignment horizontal="center" wrapText="1"/>
    </xf>
    <xf numFmtId="0" fontId="27" fillId="0" borderId="13" xfId="14" applyFont="1" applyFill="1" applyBorder="1" applyAlignment="1">
      <alignment horizontal="center" wrapText="1"/>
    </xf>
  </cellXfs>
  <cellStyles count="49">
    <cellStyle name="_FeeWaiver_rvsd_TBLS24-34_7-23-01" xfId="44"/>
    <cellStyle name="Comma" xfId="48" builtinId="3"/>
    <cellStyle name="Comma 2" xfId="1"/>
    <cellStyle name="Comma 2 2" xfId="29"/>
    <cellStyle name="Comma 3" xfId="2"/>
    <cellStyle name="Comma 4" xfId="3"/>
    <cellStyle name="Comma 4 2" xfId="4"/>
    <cellStyle name="Comma 5" xfId="5"/>
    <cellStyle name="Comma 6" xfId="6"/>
    <cellStyle name="Comma 6 2" xfId="28"/>
    <cellStyle name="Comma 7" xfId="7"/>
    <cellStyle name="Comma 7 2" xfId="8"/>
    <cellStyle name="Comma 7 3" xfId="35"/>
    <cellStyle name="Comma 7 4" xfId="37"/>
    <cellStyle name="Comma 8" xfId="38"/>
    <cellStyle name="Currency 2" xfId="9"/>
    <cellStyle name="Currency 2 2" xfId="10"/>
    <cellStyle name="Currency 3" xfId="11"/>
    <cellStyle name="Currency 3 2" xfId="12"/>
    <cellStyle name="Normal" xfId="0" builtinId="0"/>
    <cellStyle name="Normal 10" xfId="42"/>
    <cellStyle name="Normal 2" xfId="13"/>
    <cellStyle name="Normal 2 2" xfId="14"/>
    <cellStyle name="Normal 3" xfId="15"/>
    <cellStyle name="Normal 4" xfId="16"/>
    <cellStyle name="Normal 4 2" xfId="17"/>
    <cellStyle name="Normal 5" xfId="18"/>
    <cellStyle name="Normal 5 2" xfId="19"/>
    <cellStyle name="Normal 5 2 2" xfId="30"/>
    <cellStyle name="Normal 5 2 3" xfId="31"/>
    <cellStyle name="Normal 5 2 4" xfId="32"/>
    <cellStyle name="Normal 5 2 4 2" xfId="47"/>
    <cellStyle name="Normal 5 2 5" xfId="33"/>
    <cellStyle name="Normal 5 2 5 2" xfId="46"/>
    <cellStyle name="Normal 5 3" xfId="34"/>
    <cellStyle name="Normal 5 4" xfId="39"/>
    <cellStyle name="Normal 5 5" xfId="40"/>
    <cellStyle name="Normal 5 6" xfId="36"/>
    <cellStyle name="Normal 6" xfId="20"/>
    <cellStyle name="Normal 7" xfId="21"/>
    <cellStyle name="Normal 7 2" xfId="22"/>
    <cellStyle name="Normal 8" xfId="26"/>
    <cellStyle name="Normal 8 2" xfId="27"/>
    <cellStyle name="Normal 9" xfId="41"/>
    <cellStyle name="Percent" xfId="23" builtinId="5"/>
    <cellStyle name="Percent 2" xfId="24"/>
    <cellStyle name="Percent 3" xfId="25"/>
    <cellStyle name="Percent 4" xfId="43"/>
    <cellStyle name="Style 1" xfId="45"/>
  </cellStyles>
  <dxfs count="0"/>
  <tableStyles count="0" defaultTableStyle="TableStyleMedium9" defaultPivotStyle="PivotStyleLight16"/>
  <colors>
    <mruColors>
      <color rgb="FFFFFFCC"/>
      <color rgb="FF99FF99"/>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1"/>
  <sheetViews>
    <sheetView tabSelected="1" zoomScale="110" workbookViewId="0">
      <pane xSplit="2" ySplit="6" topLeftCell="C7" activePane="bottomRight" state="frozen"/>
      <selection pane="topRight" activeCell="C1" sqref="C1"/>
      <selection pane="bottomLeft" activeCell="A8" sqref="A8"/>
      <selection pane="bottomRight" activeCell="W2" sqref="W2"/>
    </sheetView>
  </sheetViews>
  <sheetFormatPr defaultColWidth="9.33203125" defaultRowHeight="13.2"/>
  <cols>
    <col min="1" max="1" width="2.33203125" style="41" customWidth="1"/>
    <col min="2" max="2" width="25.6640625" style="41" customWidth="1"/>
    <col min="3" max="3" width="14.109375" style="41" bestFit="1" customWidth="1"/>
    <col min="4" max="4" width="1.77734375" style="41" customWidth="1"/>
    <col min="5" max="5" width="14.5546875" style="41" bestFit="1" customWidth="1"/>
    <col min="6" max="6" width="12.5546875" style="41" bestFit="1" customWidth="1"/>
    <col min="7" max="7" width="14.109375" style="41" bestFit="1" customWidth="1"/>
    <col min="8" max="8" width="2.77734375" style="130" customWidth="1"/>
    <col min="9" max="9" width="12.6640625" style="41" bestFit="1" customWidth="1"/>
    <col min="10" max="10" width="1.77734375" style="41" customWidth="1"/>
    <col min="11" max="11" width="12.5546875" style="41" customWidth="1"/>
    <col min="12" max="13" width="1.77734375" style="41" customWidth="1"/>
    <col min="14" max="14" width="13.6640625" style="41" customWidth="1"/>
    <col min="15" max="15" width="2.77734375" style="130" customWidth="1"/>
    <col min="16" max="16" width="14.109375" style="41" bestFit="1" customWidth="1"/>
    <col min="17" max="17" width="1.88671875" style="41" customWidth="1"/>
    <col min="18" max="18" width="14.33203125" style="41" customWidth="1"/>
    <col min="19" max="19" width="13.5546875" style="41" customWidth="1"/>
    <col min="20" max="20" width="14.109375" style="41" bestFit="1" customWidth="1"/>
    <col min="21" max="21" width="2.6640625" style="41" customWidth="1"/>
    <col min="22" max="23" width="12.77734375" style="41" customWidth="1"/>
    <col min="24" max="24" width="2.109375" style="41" customWidth="1"/>
    <col min="25" max="25" width="14.109375" style="41" bestFit="1" customWidth="1"/>
    <col min="26" max="16384" width="9.33203125" style="41"/>
  </cols>
  <sheetData>
    <row r="1" spans="1:24" ht="18" customHeight="1">
      <c r="B1" s="1" t="s">
        <v>162</v>
      </c>
      <c r="W1" s="131" t="s">
        <v>177</v>
      </c>
    </row>
    <row r="2" spans="1:24" ht="6" customHeight="1">
      <c r="B2" s="132"/>
      <c r="W2" s="133"/>
    </row>
    <row r="3" spans="1:24" s="134" customFormat="1" ht="13.8" thickBot="1">
      <c r="B3" s="135"/>
      <c r="C3" s="136">
        <v>-1</v>
      </c>
      <c r="D3" s="136"/>
      <c r="E3" s="136">
        <v>-2</v>
      </c>
      <c r="F3" s="136">
        <v>-3</v>
      </c>
      <c r="G3" s="136">
        <v>-4</v>
      </c>
      <c r="H3" s="137"/>
      <c r="I3" s="136">
        <v>-5</v>
      </c>
      <c r="J3" s="136"/>
      <c r="K3" s="320" t="s">
        <v>56</v>
      </c>
      <c r="L3" s="136"/>
      <c r="M3" s="138"/>
      <c r="N3" s="320" t="s">
        <v>57</v>
      </c>
      <c r="O3" s="139"/>
      <c r="P3" s="136">
        <v>-8</v>
      </c>
      <c r="Q3" s="136"/>
      <c r="R3" s="136">
        <v>-9</v>
      </c>
      <c r="S3" s="136">
        <v>-10</v>
      </c>
      <c r="T3" s="136">
        <v>-11</v>
      </c>
      <c r="U3" s="139"/>
      <c r="V3" s="321">
        <v>-12</v>
      </c>
      <c r="W3" s="322">
        <v>-13</v>
      </c>
    </row>
    <row r="4" spans="1:24" s="140" customFormat="1" ht="38.4" customHeight="1">
      <c r="C4" s="429" t="s">
        <v>87</v>
      </c>
      <c r="D4" s="429"/>
      <c r="E4" s="429"/>
      <c r="F4" s="429"/>
      <c r="G4" s="429"/>
      <c r="H4" s="141"/>
      <c r="I4" s="434" t="s">
        <v>77</v>
      </c>
      <c r="J4" s="434"/>
      <c r="K4" s="434"/>
      <c r="L4" s="434"/>
      <c r="M4" s="434"/>
      <c r="N4" s="434"/>
      <c r="O4" s="141"/>
      <c r="P4" s="430" t="s">
        <v>104</v>
      </c>
      <c r="Q4" s="430"/>
      <c r="R4" s="430"/>
      <c r="S4" s="430"/>
      <c r="T4" s="430"/>
      <c r="U4" s="142"/>
      <c r="V4" s="424" t="s">
        <v>108</v>
      </c>
      <c r="W4" s="425"/>
      <c r="X4" s="143"/>
    </row>
    <row r="5" spans="1:24" s="140" customFormat="1" ht="15" customHeight="1">
      <c r="A5" s="144"/>
      <c r="B5" s="144"/>
      <c r="C5" s="145"/>
      <c r="D5" s="145"/>
      <c r="E5" s="435" t="s">
        <v>107</v>
      </c>
      <c r="F5" s="145"/>
      <c r="G5" s="145"/>
      <c r="H5" s="146"/>
      <c r="I5" s="431" t="s">
        <v>55</v>
      </c>
      <c r="J5" s="431"/>
      <c r="K5" s="431"/>
      <c r="L5" s="431"/>
      <c r="M5" s="147"/>
      <c r="N5" s="148" t="s">
        <v>63</v>
      </c>
      <c r="O5" s="146"/>
      <c r="P5" s="432"/>
      <c r="Q5" s="432"/>
      <c r="R5" s="433"/>
      <c r="S5" s="433"/>
      <c r="T5" s="433"/>
      <c r="U5" s="149"/>
      <c r="V5" s="426"/>
      <c r="W5" s="427"/>
      <c r="X5" s="143"/>
    </row>
    <row r="6" spans="1:24" s="150" customFormat="1" ht="70.2" customHeight="1" thickBot="1">
      <c r="B6" s="342"/>
      <c r="C6" s="342" t="s">
        <v>88</v>
      </c>
      <c r="D6" s="342"/>
      <c r="E6" s="436"/>
      <c r="F6" s="342" t="s">
        <v>125</v>
      </c>
      <c r="G6" s="342" t="s">
        <v>65</v>
      </c>
      <c r="H6" s="151"/>
      <c r="I6" s="342" t="s">
        <v>169</v>
      </c>
      <c r="J6" s="428" t="s">
        <v>170</v>
      </c>
      <c r="K6" s="428"/>
      <c r="L6" s="428"/>
      <c r="M6" s="342"/>
      <c r="N6" s="342" t="s">
        <v>131</v>
      </c>
      <c r="O6" s="151"/>
      <c r="P6" s="342" t="s">
        <v>60</v>
      </c>
      <c r="Q6" s="342"/>
      <c r="R6" s="342" t="s">
        <v>73</v>
      </c>
      <c r="S6" s="342" t="s">
        <v>31</v>
      </c>
      <c r="T6" s="342" t="s">
        <v>132</v>
      </c>
      <c r="U6" s="151"/>
      <c r="V6" s="152" t="s">
        <v>138</v>
      </c>
      <c r="W6" s="153" t="s">
        <v>139</v>
      </c>
    </row>
    <row r="7" spans="1:24" s="154" customFormat="1" ht="20.399999999999999">
      <c r="B7" s="330"/>
      <c r="C7" s="330"/>
      <c r="D7" s="330"/>
      <c r="E7" s="330"/>
      <c r="F7" s="330"/>
      <c r="G7" s="154" t="s">
        <v>64</v>
      </c>
      <c r="H7" s="330"/>
      <c r="I7" s="154" t="s">
        <v>154</v>
      </c>
      <c r="K7" s="154" t="s">
        <v>122</v>
      </c>
      <c r="N7" s="154" t="s">
        <v>102</v>
      </c>
      <c r="O7" s="330"/>
      <c r="P7" s="155" t="s">
        <v>74</v>
      </c>
      <c r="Q7" s="155"/>
      <c r="R7" s="330" t="s">
        <v>75</v>
      </c>
      <c r="S7" s="177" t="s">
        <v>66</v>
      </c>
      <c r="T7" s="155" t="s">
        <v>76</v>
      </c>
      <c r="U7" s="330"/>
      <c r="V7" s="156" t="s">
        <v>103</v>
      </c>
      <c r="W7" s="157" t="s">
        <v>105</v>
      </c>
    </row>
    <row r="8" spans="1:24" ht="6" customHeight="1">
      <c r="V8" s="126"/>
      <c r="W8" s="125"/>
    </row>
    <row r="9" spans="1:24" s="158" customFormat="1" ht="13.2" customHeight="1">
      <c r="B9" s="159" t="s">
        <v>0</v>
      </c>
      <c r="C9" s="159">
        <v>51343309</v>
      </c>
      <c r="D9" s="159"/>
      <c r="E9" s="160">
        <v>41290853</v>
      </c>
      <c r="F9" s="346">
        <v>4090372</v>
      </c>
      <c r="G9" s="158">
        <f t="shared" ref="G9:G31" si="0">C9+E9+F9</f>
        <v>96724534</v>
      </c>
      <c r="H9" s="159"/>
      <c r="I9" s="158">
        <f>'(B) Base Bud Adj'!AN8+'(B) Base Bud Adj'!AT8</f>
        <v>569400</v>
      </c>
      <c r="K9" s="158">
        <f>'(C) 14-15 CSU GF Adjustments'!R7</f>
        <v>3031700</v>
      </c>
      <c r="N9" s="158">
        <f>'(D) Tuition Fee Revenue'!G9+'(D) Tuition Fee Revenue'!J9+'(D) Tuition Fee Revenue'!L9</f>
        <v>1848000</v>
      </c>
      <c r="O9" s="159"/>
      <c r="P9" s="158">
        <f>C9+K9+I9</f>
        <v>54944409</v>
      </c>
      <c r="R9" s="158">
        <f t="shared" ref="R9:R31" si="1">E9+N9</f>
        <v>43138853</v>
      </c>
      <c r="S9" s="158">
        <f t="shared" ref="S9:S31" si="2">F9</f>
        <v>4090372</v>
      </c>
      <c r="T9" s="158">
        <f>P9+R9+S9</f>
        <v>102173634</v>
      </c>
      <c r="V9" s="222">
        <f>R9-'(E) Tuit Fee Discounts'!I8</f>
        <v>26550453</v>
      </c>
      <c r="W9" s="161">
        <f>P9+S9+V9</f>
        <v>85585234</v>
      </c>
    </row>
    <row r="10" spans="1:24" ht="13.2" customHeight="1">
      <c r="B10" s="130" t="s">
        <v>1</v>
      </c>
      <c r="C10" s="130">
        <v>48496910</v>
      </c>
      <c r="D10" s="130"/>
      <c r="E10" s="162">
        <v>26805000</v>
      </c>
      <c r="F10" s="347">
        <v>1854148</v>
      </c>
      <c r="G10" s="41">
        <f t="shared" si="0"/>
        <v>77156058</v>
      </c>
      <c r="I10" s="41">
        <f>'(B) Base Bud Adj'!AN9+'(B) Base Bud Adj'!AT9</f>
        <v>6806000</v>
      </c>
      <c r="K10" s="41">
        <f>'(C) 14-15 CSU GF Adjustments'!R8</f>
        <v>4904300</v>
      </c>
      <c r="N10" s="41">
        <f>'(D) Tuition Fee Revenue'!G10+'(D) Tuition Fee Revenue'!J10+'(D) Tuition Fee Revenue'!L10</f>
        <v>9793000</v>
      </c>
      <c r="P10" s="41">
        <f t="shared" ref="P10:P31" si="3">C10+K10+I10</f>
        <v>60207210</v>
      </c>
      <c r="Q10" s="158"/>
      <c r="R10" s="41">
        <f t="shared" si="1"/>
        <v>36598000</v>
      </c>
      <c r="S10" s="41">
        <f t="shared" si="2"/>
        <v>1854148</v>
      </c>
      <c r="T10" s="41">
        <f>P10+R10+S10</f>
        <v>98659358</v>
      </c>
      <c r="V10" s="126">
        <f>R10-'(E) Tuit Fee Discounts'!I9</f>
        <v>27971000</v>
      </c>
      <c r="W10" s="125">
        <f t="shared" ref="W10:W31" si="4">P10+V10+S10</f>
        <v>90032358</v>
      </c>
    </row>
    <row r="11" spans="1:24" ht="13.2" customHeight="1">
      <c r="B11" s="130" t="s">
        <v>2</v>
      </c>
      <c r="C11" s="130">
        <v>85954532</v>
      </c>
      <c r="D11" s="130"/>
      <c r="E11" s="162">
        <v>82084000</v>
      </c>
      <c r="F11" s="347">
        <v>10561000</v>
      </c>
      <c r="G11" s="41">
        <f t="shared" si="0"/>
        <v>178599532</v>
      </c>
      <c r="I11" s="41">
        <f>'(B) Base Bud Adj'!AN10+'(B) Base Bud Adj'!AT10</f>
        <v>1207400</v>
      </c>
      <c r="K11" s="41">
        <f>'(C) 14-15 CSU GF Adjustments'!R9</f>
        <v>5083100</v>
      </c>
      <c r="N11" s="41">
        <f>'(D) Tuition Fee Revenue'!G11+'(D) Tuition Fee Revenue'!J11+'(D) Tuition Fee Revenue'!L11</f>
        <v>2509000</v>
      </c>
      <c r="P11" s="41">
        <f t="shared" si="3"/>
        <v>92245032</v>
      </c>
      <c r="Q11" s="158"/>
      <c r="R11" s="41">
        <f t="shared" si="1"/>
        <v>84593000</v>
      </c>
      <c r="S11" s="41">
        <f t="shared" si="2"/>
        <v>10561000</v>
      </c>
      <c r="T11" s="41">
        <f t="shared" ref="T11:T31" si="5">P11+R11+S11</f>
        <v>187399032</v>
      </c>
      <c r="V11" s="126">
        <f>R11-'(E) Tuit Fee Discounts'!I10</f>
        <v>62689000</v>
      </c>
      <c r="W11" s="125">
        <f t="shared" si="4"/>
        <v>165495032</v>
      </c>
    </row>
    <row r="12" spans="1:24" ht="13.2" customHeight="1">
      <c r="B12" s="130" t="s">
        <v>3</v>
      </c>
      <c r="C12" s="130">
        <v>61880052</v>
      </c>
      <c r="D12" s="130"/>
      <c r="E12" s="162">
        <v>65284000</v>
      </c>
      <c r="F12" s="347">
        <v>3865000</v>
      </c>
      <c r="G12" s="41">
        <f t="shared" si="0"/>
        <v>131029052</v>
      </c>
      <c r="I12" s="41">
        <f>'(B) Base Bud Adj'!AN11+'(B) Base Bud Adj'!AT11</f>
        <v>-131400</v>
      </c>
      <c r="K12" s="41">
        <f>'(C) 14-15 CSU GF Adjustments'!R10</f>
        <v>3993500</v>
      </c>
      <c r="N12" s="41">
        <f>'(D) Tuition Fee Revenue'!G12+'(D) Tuition Fee Revenue'!J12+'(D) Tuition Fee Revenue'!L12</f>
        <v>2141000</v>
      </c>
      <c r="P12" s="41">
        <f t="shared" si="3"/>
        <v>65742152</v>
      </c>
      <c r="Q12" s="158"/>
      <c r="R12" s="41">
        <f t="shared" si="1"/>
        <v>67425000</v>
      </c>
      <c r="S12" s="41">
        <f t="shared" si="2"/>
        <v>3865000</v>
      </c>
      <c r="T12" s="41">
        <f t="shared" si="5"/>
        <v>137032152</v>
      </c>
      <c r="V12" s="126">
        <f>R12-'(E) Tuit Fee Discounts'!I11</f>
        <v>39207500</v>
      </c>
      <c r="W12" s="125">
        <f t="shared" si="4"/>
        <v>108814652</v>
      </c>
    </row>
    <row r="13" spans="1:24" ht="13.2" customHeight="1">
      <c r="B13" s="130" t="s">
        <v>28</v>
      </c>
      <c r="C13" s="130">
        <v>67147261</v>
      </c>
      <c r="D13" s="130"/>
      <c r="E13" s="162">
        <v>78141128</v>
      </c>
      <c r="F13" s="347">
        <v>21496935</v>
      </c>
      <c r="G13" s="41">
        <f t="shared" si="0"/>
        <v>166785324</v>
      </c>
      <c r="I13" s="41">
        <f>'(B) Base Bud Adj'!AN12+'(B) Base Bud Adj'!AT12</f>
        <v>1762600</v>
      </c>
      <c r="K13" s="41">
        <f>'(C) 14-15 CSU GF Adjustments'!R11</f>
        <v>5169700</v>
      </c>
      <c r="N13" s="41">
        <f>'(D) Tuition Fee Revenue'!G13+'(D) Tuition Fee Revenue'!J13+'(D) Tuition Fee Revenue'!L13</f>
        <v>3100000</v>
      </c>
      <c r="P13" s="41">
        <f t="shared" si="3"/>
        <v>74079561</v>
      </c>
      <c r="Q13" s="158"/>
      <c r="R13" s="41">
        <f t="shared" si="1"/>
        <v>81241128</v>
      </c>
      <c r="S13" s="41">
        <f t="shared" si="2"/>
        <v>21496935</v>
      </c>
      <c r="T13" s="41">
        <f t="shared" si="5"/>
        <v>176817624</v>
      </c>
      <c r="V13" s="126">
        <f>R13-'(E) Tuit Fee Discounts'!I12</f>
        <v>59095328</v>
      </c>
      <c r="W13" s="125">
        <f t="shared" si="4"/>
        <v>154671824</v>
      </c>
    </row>
    <row r="14" spans="1:24" ht="13.2" customHeight="1">
      <c r="B14" s="130" t="s">
        <v>4</v>
      </c>
      <c r="C14" s="130">
        <v>108604732</v>
      </c>
      <c r="D14" s="130"/>
      <c r="E14" s="162">
        <v>108469680</v>
      </c>
      <c r="F14" s="347">
        <v>10178825</v>
      </c>
      <c r="G14" s="41">
        <f t="shared" si="0"/>
        <v>227253237</v>
      </c>
      <c r="I14" s="41">
        <f>'(B) Base Bud Adj'!AN13+'(B) Base Bud Adj'!AT13</f>
        <v>2332000</v>
      </c>
      <c r="K14" s="41">
        <f>'(C) 14-15 CSU GF Adjustments'!R12</f>
        <v>7519100</v>
      </c>
      <c r="N14" s="41">
        <f>'(D) Tuition Fee Revenue'!G14+'(D) Tuition Fee Revenue'!J14+'(D) Tuition Fee Revenue'!L14</f>
        <v>3099000</v>
      </c>
      <c r="P14" s="41">
        <f t="shared" si="3"/>
        <v>118455832</v>
      </c>
      <c r="Q14" s="158"/>
      <c r="R14" s="41">
        <f t="shared" si="1"/>
        <v>111568680</v>
      </c>
      <c r="S14" s="41">
        <f t="shared" si="2"/>
        <v>10178825</v>
      </c>
      <c r="T14" s="41">
        <f t="shared" si="5"/>
        <v>240203337</v>
      </c>
      <c r="V14" s="126">
        <f>R14-'(E) Tuit Fee Discounts'!I13</f>
        <v>74573480</v>
      </c>
      <c r="W14" s="125">
        <f t="shared" si="4"/>
        <v>203208137</v>
      </c>
    </row>
    <row r="15" spans="1:24" ht="13.2" customHeight="1">
      <c r="B15" s="130" t="s">
        <v>5</v>
      </c>
      <c r="C15" s="130">
        <v>130064361</v>
      </c>
      <c r="D15" s="130"/>
      <c r="E15" s="162">
        <v>190640586</v>
      </c>
      <c r="F15" s="347">
        <v>21567109</v>
      </c>
      <c r="G15" s="41">
        <f t="shared" si="0"/>
        <v>342272056</v>
      </c>
      <c r="I15" s="41">
        <f>'(B) Base Bud Adj'!AN14+'(B) Base Bud Adj'!AT14</f>
        <v>3774000</v>
      </c>
      <c r="K15" s="41">
        <f>'(C) 14-15 CSU GF Adjustments'!R13</f>
        <v>10555700</v>
      </c>
      <c r="N15" s="41">
        <f>'(D) Tuition Fee Revenue'!G15+'(D) Tuition Fee Revenue'!J15+'(D) Tuition Fee Revenue'!L15</f>
        <v>5457000</v>
      </c>
      <c r="P15" s="41">
        <f t="shared" si="3"/>
        <v>144394061</v>
      </c>
      <c r="Q15" s="158"/>
      <c r="R15" s="41">
        <f t="shared" si="1"/>
        <v>196097586</v>
      </c>
      <c r="S15" s="41">
        <f t="shared" si="2"/>
        <v>21567109</v>
      </c>
      <c r="T15" s="41">
        <f t="shared" si="5"/>
        <v>362058756</v>
      </c>
      <c r="V15" s="126">
        <f>R15-'(E) Tuit Fee Discounts'!I14</f>
        <v>146455986</v>
      </c>
      <c r="W15" s="125">
        <f t="shared" si="4"/>
        <v>312417156</v>
      </c>
    </row>
    <row r="16" spans="1:24" ht="13.2" customHeight="1">
      <c r="B16" s="130" t="s">
        <v>6</v>
      </c>
      <c r="C16" s="130">
        <v>60415210</v>
      </c>
      <c r="D16" s="130"/>
      <c r="E16" s="162">
        <v>43010000</v>
      </c>
      <c r="F16" s="347">
        <v>8922305</v>
      </c>
      <c r="G16" s="41">
        <f t="shared" si="0"/>
        <v>112347515</v>
      </c>
      <c r="I16" s="41">
        <f>'(B) Base Bud Adj'!AN15+'(B) Base Bud Adj'!AT15</f>
        <v>301900</v>
      </c>
      <c r="K16" s="41">
        <f>'(C) 14-15 CSU GF Adjustments'!R14</f>
        <v>3141000</v>
      </c>
      <c r="N16" s="41">
        <f>'(D) Tuition Fee Revenue'!G16+'(D) Tuition Fee Revenue'!J16+'(D) Tuition Fee Revenue'!L16</f>
        <v>1085000</v>
      </c>
      <c r="P16" s="41">
        <f t="shared" si="3"/>
        <v>63858110</v>
      </c>
      <c r="Q16" s="158"/>
      <c r="R16" s="41">
        <f t="shared" si="1"/>
        <v>44095000</v>
      </c>
      <c r="S16" s="41">
        <f t="shared" si="2"/>
        <v>8922305</v>
      </c>
      <c r="T16" s="41">
        <f t="shared" si="5"/>
        <v>116875415</v>
      </c>
      <c r="V16" s="126">
        <f>R16-'(E) Tuit Fee Discounts'!I15</f>
        <v>30883700</v>
      </c>
      <c r="W16" s="125">
        <f t="shared" si="4"/>
        <v>103664115</v>
      </c>
    </row>
    <row r="17" spans="2:23" ht="13.2" customHeight="1">
      <c r="B17" s="130" t="s">
        <v>7</v>
      </c>
      <c r="C17" s="130">
        <v>141554836.16</v>
      </c>
      <c r="D17" s="130"/>
      <c r="E17" s="162">
        <v>183009177</v>
      </c>
      <c r="F17" s="347">
        <v>28302436</v>
      </c>
      <c r="G17" s="41">
        <f t="shared" si="0"/>
        <v>352866449.15999997</v>
      </c>
      <c r="I17" s="41">
        <f>'(B) Base Bud Adj'!AN16+'(B) Base Bud Adj'!AT16</f>
        <v>4536400</v>
      </c>
      <c r="K17" s="41">
        <f>'(C) 14-15 CSU GF Adjustments'!R15</f>
        <v>10850600</v>
      </c>
      <c r="N17" s="41">
        <f>'(D) Tuition Fee Revenue'!G17+'(D) Tuition Fee Revenue'!J17+'(D) Tuition Fee Revenue'!L17</f>
        <v>7611000</v>
      </c>
      <c r="P17" s="41">
        <f t="shared" si="3"/>
        <v>156941836.16</v>
      </c>
      <c r="Q17" s="158"/>
      <c r="R17" s="41">
        <f t="shared" si="1"/>
        <v>190620177</v>
      </c>
      <c r="S17" s="41">
        <f t="shared" si="2"/>
        <v>28302436</v>
      </c>
      <c r="T17" s="41">
        <f t="shared" si="5"/>
        <v>375864449.15999997</v>
      </c>
      <c r="V17" s="126">
        <f>R17-'(E) Tuit Fee Discounts'!I16</f>
        <v>138575777</v>
      </c>
      <c r="W17" s="125">
        <f t="shared" si="4"/>
        <v>323820049.15999997</v>
      </c>
    </row>
    <row r="18" spans="2:23" ht="13.2" customHeight="1">
      <c r="B18" s="130" t="s">
        <v>8</v>
      </c>
      <c r="C18" s="130">
        <v>103544039</v>
      </c>
      <c r="D18" s="130"/>
      <c r="E18" s="162">
        <v>112888040</v>
      </c>
      <c r="F18" s="347">
        <v>18223954</v>
      </c>
      <c r="G18" s="41">
        <f t="shared" si="0"/>
        <v>234656033</v>
      </c>
      <c r="I18" s="41">
        <f>'(B) Base Bud Adj'!AN17+'(B) Base Bud Adj'!AT17</f>
        <v>2131000</v>
      </c>
      <c r="K18" s="41">
        <f>'(C) 14-15 CSU GF Adjustments'!R16</f>
        <v>6522000</v>
      </c>
      <c r="N18" s="41">
        <f>'(D) Tuition Fee Revenue'!G18+'(D) Tuition Fee Revenue'!J18+'(D) Tuition Fee Revenue'!L18</f>
        <v>2381000</v>
      </c>
      <c r="P18" s="41">
        <f t="shared" si="3"/>
        <v>112197039</v>
      </c>
      <c r="Q18" s="158"/>
      <c r="R18" s="41">
        <f t="shared" si="1"/>
        <v>115269040</v>
      </c>
      <c r="S18" s="41">
        <f t="shared" si="2"/>
        <v>18223954</v>
      </c>
      <c r="T18" s="41">
        <f t="shared" si="5"/>
        <v>245690033</v>
      </c>
      <c r="V18" s="126">
        <f>R18-'(E) Tuit Fee Discounts'!I17</f>
        <v>71044740</v>
      </c>
      <c r="W18" s="125">
        <f t="shared" si="4"/>
        <v>201465733</v>
      </c>
    </row>
    <row r="19" spans="2:23" ht="13.2" customHeight="1">
      <c r="B19" s="130" t="s">
        <v>9</v>
      </c>
      <c r="C19" s="130">
        <v>23184576</v>
      </c>
      <c r="D19" s="130"/>
      <c r="E19" s="162">
        <v>5679278</v>
      </c>
      <c r="F19" s="347">
        <v>3940871</v>
      </c>
      <c r="G19" s="41">
        <f t="shared" si="0"/>
        <v>32804725</v>
      </c>
      <c r="I19" s="41">
        <f>'(B) Base Bud Adj'!AN18+'(B) Base Bud Adj'!AT18</f>
        <v>726100</v>
      </c>
      <c r="K19" s="41">
        <f>'(C) 14-15 CSU GF Adjustments'!R17</f>
        <v>2107600</v>
      </c>
      <c r="N19" s="41">
        <f>'(D) Tuition Fee Revenue'!G19+'(D) Tuition Fee Revenue'!J19+'(D) Tuition Fee Revenue'!L19</f>
        <v>923000</v>
      </c>
      <c r="P19" s="41">
        <f t="shared" si="3"/>
        <v>26018276</v>
      </c>
      <c r="Q19" s="158"/>
      <c r="R19" s="41">
        <f t="shared" si="1"/>
        <v>6602278</v>
      </c>
      <c r="S19" s="41">
        <f t="shared" si="2"/>
        <v>3940871</v>
      </c>
      <c r="T19" s="41">
        <f t="shared" si="5"/>
        <v>36561425</v>
      </c>
      <c r="V19" s="126">
        <f>R19-'(E) Tuit Fee Discounts'!I18</f>
        <v>4720378</v>
      </c>
      <c r="W19" s="125">
        <f t="shared" si="4"/>
        <v>34679525</v>
      </c>
    </row>
    <row r="20" spans="2:23" ht="13.2" customHeight="1">
      <c r="B20" s="130" t="s">
        <v>10</v>
      </c>
      <c r="C20" s="130">
        <v>52092783</v>
      </c>
      <c r="D20" s="130"/>
      <c r="E20" s="162">
        <f>24979203-544932</f>
        <v>24434271</v>
      </c>
      <c r="F20" s="347">
        <f>2320429-27900-8175</f>
        <v>2284354</v>
      </c>
      <c r="G20" s="41">
        <f t="shared" si="0"/>
        <v>78811408</v>
      </c>
      <c r="I20" s="41">
        <f>'(B) Base Bud Adj'!AN19+'(B) Base Bud Adj'!AT19</f>
        <v>1157200</v>
      </c>
      <c r="K20" s="41">
        <f>'(C) 14-15 CSU GF Adjustments'!R18</f>
        <v>3995000</v>
      </c>
      <c r="N20" s="41">
        <f>'(D) Tuition Fee Revenue'!G20+'(D) Tuition Fee Revenue'!J20+'(D) Tuition Fee Revenue'!L20</f>
        <v>3613000</v>
      </c>
      <c r="P20" s="41">
        <f t="shared" si="3"/>
        <v>57244983</v>
      </c>
      <c r="Q20" s="158"/>
      <c r="R20" s="41">
        <f t="shared" si="1"/>
        <v>28047271</v>
      </c>
      <c r="S20" s="41">
        <f t="shared" si="2"/>
        <v>2284354</v>
      </c>
      <c r="T20" s="41">
        <f t="shared" si="5"/>
        <v>87576608</v>
      </c>
      <c r="V20" s="126">
        <f>R20-'(E) Tuit Fee Discounts'!I19</f>
        <v>18261771</v>
      </c>
      <c r="W20" s="125">
        <f t="shared" si="4"/>
        <v>77791108</v>
      </c>
    </row>
    <row r="21" spans="2:23" ht="13.2" customHeight="1">
      <c r="B21" s="130" t="s">
        <v>11</v>
      </c>
      <c r="C21" s="130">
        <v>141659296</v>
      </c>
      <c r="D21" s="130"/>
      <c r="E21" s="162">
        <v>176471692</v>
      </c>
      <c r="F21" s="347">
        <v>34865570</v>
      </c>
      <c r="G21" s="41">
        <f t="shared" si="0"/>
        <v>352996558</v>
      </c>
      <c r="I21" s="41">
        <f>'(B) Base Bud Adj'!AN20+'(B) Base Bud Adj'!AT20</f>
        <v>2070800</v>
      </c>
      <c r="K21" s="41">
        <f>'(C) 14-15 CSU GF Adjustments'!R19</f>
        <v>10512300</v>
      </c>
      <c r="N21" s="41">
        <f>'(D) Tuition Fee Revenue'!G21+'(D) Tuition Fee Revenue'!J21+'(D) Tuition Fee Revenue'!L21</f>
        <v>102000</v>
      </c>
      <c r="P21" s="41">
        <f t="shared" si="3"/>
        <v>154242396</v>
      </c>
      <c r="Q21" s="158"/>
      <c r="R21" s="41">
        <f t="shared" si="1"/>
        <v>176573692</v>
      </c>
      <c r="S21" s="41">
        <f t="shared" si="2"/>
        <v>34865570</v>
      </c>
      <c r="T21" s="41">
        <f t="shared" si="5"/>
        <v>365681658</v>
      </c>
      <c r="V21" s="126">
        <f>R21-'(E) Tuit Fee Discounts'!I20</f>
        <v>122166892</v>
      </c>
      <c r="W21" s="125">
        <f t="shared" si="4"/>
        <v>311274858</v>
      </c>
    </row>
    <row r="22" spans="2:23" ht="13.2" customHeight="1">
      <c r="B22" s="130" t="s">
        <v>12</v>
      </c>
      <c r="C22" s="130">
        <v>103516842</v>
      </c>
      <c r="D22" s="130"/>
      <c r="E22" s="162">
        <v>109599000</v>
      </c>
      <c r="F22" s="347">
        <v>13561000</v>
      </c>
      <c r="G22" s="41">
        <f t="shared" si="0"/>
        <v>226676842</v>
      </c>
      <c r="I22" s="41">
        <f>'(B) Base Bud Adj'!AN21+'(B) Base Bud Adj'!AT21</f>
        <v>1750200</v>
      </c>
      <c r="K22" s="41">
        <f>'(C) 14-15 CSU GF Adjustments'!R20</f>
        <v>7068300</v>
      </c>
      <c r="N22" s="41">
        <f>'(D) Tuition Fee Revenue'!G22+'(D) Tuition Fee Revenue'!J22+'(D) Tuition Fee Revenue'!L22</f>
        <v>2951000</v>
      </c>
      <c r="P22" s="41">
        <f t="shared" si="3"/>
        <v>112335342</v>
      </c>
      <c r="Q22" s="158"/>
      <c r="R22" s="41">
        <f t="shared" si="1"/>
        <v>112550000</v>
      </c>
      <c r="S22" s="41">
        <f t="shared" si="2"/>
        <v>13561000</v>
      </c>
      <c r="T22" s="41">
        <f t="shared" si="5"/>
        <v>238446342</v>
      </c>
      <c r="V22" s="126">
        <f>R22-'(E) Tuit Fee Discounts'!I21</f>
        <v>81974800</v>
      </c>
      <c r="W22" s="125">
        <f t="shared" si="4"/>
        <v>207871142</v>
      </c>
    </row>
    <row r="23" spans="2:23" ht="13.2" customHeight="1">
      <c r="B23" s="130" t="s">
        <v>13</v>
      </c>
      <c r="C23" s="130">
        <v>116988137</v>
      </c>
      <c r="D23" s="130"/>
      <c r="E23" s="162">
        <v>139360000</v>
      </c>
      <c r="F23" s="347">
        <v>15870917</v>
      </c>
      <c r="G23" s="41">
        <f t="shared" si="0"/>
        <v>272219054</v>
      </c>
      <c r="I23" s="41">
        <f>'(B) Base Bud Adj'!AN22+'(B) Base Bud Adj'!AT22</f>
        <v>2344400</v>
      </c>
      <c r="K23" s="41">
        <f>'(C) 14-15 CSU GF Adjustments'!R21</f>
        <v>7004900</v>
      </c>
      <c r="N23" s="41">
        <f>'(D) Tuition Fee Revenue'!G23+'(D) Tuition Fee Revenue'!J23+'(D) Tuition Fee Revenue'!L23</f>
        <v>4037000</v>
      </c>
      <c r="P23" s="41">
        <f t="shared" si="3"/>
        <v>126337437</v>
      </c>
      <c r="Q23" s="158"/>
      <c r="R23" s="41">
        <f t="shared" si="1"/>
        <v>143397000</v>
      </c>
      <c r="S23" s="41">
        <f t="shared" si="2"/>
        <v>15870917</v>
      </c>
      <c r="T23" s="41">
        <f t="shared" si="5"/>
        <v>285605354</v>
      </c>
      <c r="V23" s="126">
        <f>R23-'(E) Tuit Fee Discounts'!I22</f>
        <v>100479300</v>
      </c>
      <c r="W23" s="125">
        <f t="shared" si="4"/>
        <v>242687654</v>
      </c>
    </row>
    <row r="24" spans="2:23" ht="13.2" customHeight="1">
      <c r="B24" s="130" t="s">
        <v>14</v>
      </c>
      <c r="C24" s="130">
        <v>78595208</v>
      </c>
      <c r="D24" s="130"/>
      <c r="E24" s="162">
        <v>90378997</v>
      </c>
      <c r="F24" s="347">
        <v>21959013</v>
      </c>
      <c r="G24" s="41">
        <f t="shared" si="0"/>
        <v>190933218</v>
      </c>
      <c r="I24" s="41">
        <f>'(B) Base Bud Adj'!AN23+'(B) Base Bud Adj'!AT23</f>
        <v>1763000</v>
      </c>
      <c r="K24" s="41">
        <f>'(C) 14-15 CSU GF Adjustments'!R22</f>
        <v>6503000</v>
      </c>
      <c r="N24" s="41">
        <f>'(D) Tuition Fee Revenue'!G24+'(D) Tuition Fee Revenue'!J24+'(D) Tuition Fee Revenue'!L24</f>
        <v>5523000</v>
      </c>
      <c r="P24" s="41">
        <f t="shared" si="3"/>
        <v>86861208</v>
      </c>
      <c r="Q24" s="158"/>
      <c r="R24" s="41">
        <f t="shared" si="1"/>
        <v>95901997</v>
      </c>
      <c r="S24" s="41">
        <f t="shared" si="2"/>
        <v>21959013</v>
      </c>
      <c r="T24" s="41">
        <f t="shared" si="5"/>
        <v>204722218</v>
      </c>
      <c r="V24" s="126">
        <f>R24-'(E) Tuit Fee Discounts'!I23</f>
        <v>62585097</v>
      </c>
      <c r="W24" s="125">
        <f t="shared" si="4"/>
        <v>171405318</v>
      </c>
    </row>
    <row r="25" spans="2:23" ht="13.2" customHeight="1">
      <c r="B25" s="130" t="s">
        <v>15</v>
      </c>
      <c r="C25" s="130">
        <v>143411096</v>
      </c>
      <c r="D25" s="130"/>
      <c r="E25" s="162">
        <v>165307988</v>
      </c>
      <c r="F25" s="347">
        <v>37317351</v>
      </c>
      <c r="G25" s="41">
        <f t="shared" si="0"/>
        <v>346036435</v>
      </c>
      <c r="I25" s="41">
        <f>'(B) Base Bud Adj'!AN24+'(B) Base Bud Adj'!AT24</f>
        <v>1740100</v>
      </c>
      <c r="K25" s="41">
        <f>'(C) 14-15 CSU GF Adjustments'!R23</f>
        <v>8595600</v>
      </c>
      <c r="N25" s="41">
        <f>'(D) Tuition Fee Revenue'!G25+'(D) Tuition Fee Revenue'!J25+'(D) Tuition Fee Revenue'!L25</f>
        <v>1245000</v>
      </c>
      <c r="P25" s="41">
        <f t="shared" si="3"/>
        <v>153746796</v>
      </c>
      <c r="Q25" s="158"/>
      <c r="R25" s="41">
        <f t="shared" si="1"/>
        <v>166552988</v>
      </c>
      <c r="S25" s="41">
        <f t="shared" si="2"/>
        <v>37317351</v>
      </c>
      <c r="T25" s="41">
        <f t="shared" si="5"/>
        <v>357617135</v>
      </c>
      <c r="V25" s="126">
        <f>R25-'(E) Tuit Fee Discounts'!I24</f>
        <v>126046188</v>
      </c>
      <c r="W25" s="125">
        <f t="shared" si="4"/>
        <v>317110335</v>
      </c>
    </row>
    <row r="26" spans="2:23" ht="13.2" customHeight="1">
      <c r="B26" s="130" t="s">
        <v>16</v>
      </c>
      <c r="C26" s="130">
        <v>120275359</v>
      </c>
      <c r="D26" s="130"/>
      <c r="E26" s="162">
        <v>150000000</v>
      </c>
      <c r="F26" s="347">
        <v>30824962</v>
      </c>
      <c r="G26" s="41">
        <f t="shared" si="0"/>
        <v>301100321</v>
      </c>
      <c r="I26" s="41">
        <f>'(B) Base Bud Adj'!AN25+'(B) Base Bud Adj'!AT25</f>
        <v>2928300</v>
      </c>
      <c r="K26" s="41">
        <f>'(C) 14-15 CSU GF Adjustments'!R24</f>
        <v>8329200</v>
      </c>
      <c r="N26" s="41">
        <f>'(D) Tuition Fee Revenue'!G26+'(D) Tuition Fee Revenue'!J26+'(D) Tuition Fee Revenue'!L26</f>
        <v>919000</v>
      </c>
      <c r="P26" s="41">
        <f t="shared" si="3"/>
        <v>131532859</v>
      </c>
      <c r="Q26" s="158"/>
      <c r="R26" s="41">
        <f t="shared" si="1"/>
        <v>150919000</v>
      </c>
      <c r="S26" s="41">
        <f t="shared" si="2"/>
        <v>30824962</v>
      </c>
      <c r="T26" s="41">
        <f t="shared" si="5"/>
        <v>313276821</v>
      </c>
      <c r="V26" s="126">
        <f>R26-'(E) Tuit Fee Discounts'!I25</f>
        <v>106543800</v>
      </c>
      <c r="W26" s="125">
        <f t="shared" si="4"/>
        <v>268901621</v>
      </c>
    </row>
    <row r="27" spans="2:23" ht="13.2" customHeight="1">
      <c r="B27" s="130" t="s">
        <v>17</v>
      </c>
      <c r="C27" s="130">
        <v>111094782</v>
      </c>
      <c r="D27" s="130"/>
      <c r="E27" s="162">
        <v>143022000</v>
      </c>
      <c r="F27" s="347">
        <v>42015427</v>
      </c>
      <c r="G27" s="41">
        <f t="shared" si="0"/>
        <v>296132209</v>
      </c>
      <c r="I27" s="41">
        <f>'(B) Base Bud Adj'!AN26+'(B) Base Bud Adj'!AT26</f>
        <v>4276100</v>
      </c>
      <c r="K27" s="41">
        <f>'(C) 14-15 CSU GF Adjustments'!R25</f>
        <v>8680500</v>
      </c>
      <c r="N27" s="41">
        <f>'(D) Tuition Fee Revenue'!G27+'(D) Tuition Fee Revenue'!J27+'(D) Tuition Fee Revenue'!L27</f>
        <v>3810000</v>
      </c>
      <c r="P27" s="41">
        <f t="shared" si="3"/>
        <v>124051382</v>
      </c>
      <c r="Q27" s="158"/>
      <c r="R27" s="41">
        <f t="shared" si="1"/>
        <v>146832000</v>
      </c>
      <c r="S27" s="41">
        <f t="shared" si="2"/>
        <v>42015427</v>
      </c>
      <c r="T27" s="41">
        <f t="shared" si="5"/>
        <v>312898809</v>
      </c>
      <c r="V27" s="126">
        <f>R27-'(E) Tuit Fee Discounts'!I26</f>
        <v>108626600</v>
      </c>
      <c r="W27" s="125">
        <f t="shared" si="4"/>
        <v>274693409</v>
      </c>
    </row>
    <row r="28" spans="2:23" ht="13.2" customHeight="1">
      <c r="B28" s="130" t="s">
        <v>18</v>
      </c>
      <c r="C28" s="130">
        <v>95997068</v>
      </c>
      <c r="D28" s="130"/>
      <c r="E28" s="162">
        <v>99340000</v>
      </c>
      <c r="F28" s="347">
        <v>54988000</v>
      </c>
      <c r="G28" s="41">
        <f t="shared" si="0"/>
        <v>250325068</v>
      </c>
      <c r="I28" s="41">
        <f>'(B) Base Bud Adj'!AN27+'(B) Base Bud Adj'!AT27</f>
        <v>1824800</v>
      </c>
      <c r="K28" s="41">
        <f>'(C) 14-15 CSU GF Adjustments'!R26</f>
        <v>7650100</v>
      </c>
      <c r="N28" s="41">
        <f>'(D) Tuition Fee Revenue'!G28+'(D) Tuition Fee Revenue'!J28+'(D) Tuition Fee Revenue'!L28</f>
        <v>2999000</v>
      </c>
      <c r="P28" s="41">
        <f t="shared" si="3"/>
        <v>105471968</v>
      </c>
      <c r="Q28" s="158"/>
      <c r="R28" s="41">
        <f t="shared" si="1"/>
        <v>102339000</v>
      </c>
      <c r="S28" s="41">
        <f t="shared" si="2"/>
        <v>54988000</v>
      </c>
      <c r="T28" s="41">
        <f t="shared" si="5"/>
        <v>262798968</v>
      </c>
      <c r="V28" s="126">
        <f>R28-'(E) Tuit Fee Discounts'!I27</f>
        <v>89057500</v>
      </c>
      <c r="W28" s="125">
        <f t="shared" si="4"/>
        <v>249517468</v>
      </c>
    </row>
    <row r="29" spans="2:23" ht="13.2" customHeight="1">
      <c r="B29" s="130" t="s">
        <v>19</v>
      </c>
      <c r="C29" s="130">
        <v>55597552</v>
      </c>
      <c r="D29" s="130"/>
      <c r="E29" s="162">
        <v>49145000</v>
      </c>
      <c r="F29" s="347">
        <v>10781000</v>
      </c>
      <c r="G29" s="41">
        <f t="shared" si="0"/>
        <v>115523552</v>
      </c>
      <c r="I29" s="41">
        <f>'(B) Base Bud Adj'!AN28+'(B) Base Bud Adj'!AT28</f>
        <v>1155900</v>
      </c>
      <c r="K29" s="41">
        <f>'(C) 14-15 CSU GF Adjustments'!R27</f>
        <v>5515100</v>
      </c>
      <c r="N29" s="41">
        <f>'(D) Tuition Fee Revenue'!G29+'(D) Tuition Fee Revenue'!J29+'(D) Tuition Fee Revenue'!L29</f>
        <v>2777000</v>
      </c>
      <c r="P29" s="41">
        <f t="shared" si="3"/>
        <v>62268552</v>
      </c>
      <c r="Q29" s="158"/>
      <c r="R29" s="41">
        <f t="shared" si="1"/>
        <v>51922000</v>
      </c>
      <c r="S29" s="41">
        <f t="shared" si="2"/>
        <v>10781000</v>
      </c>
      <c r="T29" s="41">
        <f t="shared" si="5"/>
        <v>124971552</v>
      </c>
      <c r="V29" s="126">
        <f>R29-'(E) Tuit Fee Discounts'!I28</f>
        <v>35754200</v>
      </c>
      <c r="W29" s="125">
        <f t="shared" si="4"/>
        <v>108803752</v>
      </c>
    </row>
    <row r="30" spans="2:23" ht="13.2" customHeight="1">
      <c r="B30" s="130" t="s">
        <v>20</v>
      </c>
      <c r="C30" s="130">
        <v>49467083</v>
      </c>
      <c r="D30" s="130"/>
      <c r="E30" s="162">
        <v>44580800</v>
      </c>
      <c r="F30" s="347">
        <v>5577199</v>
      </c>
      <c r="G30" s="41">
        <f t="shared" si="0"/>
        <v>99625082</v>
      </c>
      <c r="I30" s="41">
        <f>'(B) Base Bud Adj'!AN29+'(B) Base Bud Adj'!AT29</f>
        <v>602300</v>
      </c>
      <c r="K30" s="41">
        <f>'(C) 14-15 CSU GF Adjustments'!R28</f>
        <v>3673100</v>
      </c>
      <c r="N30" s="41">
        <f>'(D) Tuition Fee Revenue'!G30+'(D) Tuition Fee Revenue'!J30+'(D) Tuition Fee Revenue'!L30</f>
        <v>2085000</v>
      </c>
      <c r="P30" s="41">
        <f t="shared" si="3"/>
        <v>53742483</v>
      </c>
      <c r="Q30" s="158"/>
      <c r="R30" s="41">
        <f t="shared" si="1"/>
        <v>46665800</v>
      </c>
      <c r="S30" s="41">
        <f t="shared" si="2"/>
        <v>5577199</v>
      </c>
      <c r="T30" s="41">
        <f t="shared" si="5"/>
        <v>105985482</v>
      </c>
      <c r="V30" s="126">
        <f>R30-'(E) Tuit Fee Discounts'!I29</f>
        <v>36915700</v>
      </c>
      <c r="W30" s="125">
        <f t="shared" si="4"/>
        <v>96235382</v>
      </c>
    </row>
    <row r="31" spans="2:23" ht="13.2" customHeight="1">
      <c r="B31" s="130" t="s">
        <v>21</v>
      </c>
      <c r="C31" s="130">
        <v>49835547</v>
      </c>
      <c r="D31" s="130"/>
      <c r="E31" s="162">
        <v>43140227</v>
      </c>
      <c r="F31" s="347">
        <v>5220855</v>
      </c>
      <c r="G31" s="41">
        <f t="shared" si="0"/>
        <v>98196629</v>
      </c>
      <c r="I31" s="41">
        <f>'(B) Base Bud Adj'!AN30+'(B) Base Bud Adj'!AT30</f>
        <v>-72900</v>
      </c>
      <c r="K31" s="41">
        <f>'(C) 14-15 CSU GF Adjustments'!R29</f>
        <v>2979900</v>
      </c>
      <c r="N31" s="41">
        <f>'(D) Tuition Fee Revenue'!G31+'(D) Tuition Fee Revenue'!J31+'(D) Tuition Fee Revenue'!L31</f>
        <v>977000</v>
      </c>
      <c r="P31" s="41">
        <f t="shared" si="3"/>
        <v>52742547</v>
      </c>
      <c r="Q31" s="158"/>
      <c r="R31" s="41">
        <f t="shared" si="1"/>
        <v>44117227</v>
      </c>
      <c r="S31" s="41">
        <f t="shared" si="2"/>
        <v>5220855</v>
      </c>
      <c r="T31" s="41">
        <f t="shared" si="5"/>
        <v>102080629</v>
      </c>
      <c r="V31" s="126">
        <f>R31-'(E) Tuit Fee Discounts'!I30</f>
        <v>28558727</v>
      </c>
      <c r="W31" s="125">
        <f t="shared" si="4"/>
        <v>86522129</v>
      </c>
    </row>
    <row r="32" spans="2:23" ht="6" customHeight="1">
      <c r="V32" s="126"/>
      <c r="W32" s="125"/>
    </row>
    <row r="33" spans="1:23" s="158" customFormat="1" ht="12.6" customHeight="1">
      <c r="B33" s="163" t="s">
        <v>22</v>
      </c>
      <c r="C33" s="163">
        <f>SUM(C9:C32)</f>
        <v>2000720571.1599998</v>
      </c>
      <c r="D33" s="163"/>
      <c r="E33" s="163">
        <f>SUM(E9:E32)</f>
        <v>2172081717</v>
      </c>
      <c r="F33" s="163">
        <f>SUM(F9:F31)</f>
        <v>408268603</v>
      </c>
      <c r="G33" s="163">
        <f>SUM(G9:G32)</f>
        <v>4581070891.1599998</v>
      </c>
      <c r="H33" s="159"/>
      <c r="I33" s="163">
        <f>SUM(I9:I32)</f>
        <v>45555600</v>
      </c>
      <c r="J33" s="163"/>
      <c r="K33" s="163">
        <f>SUM(K9:K32)</f>
        <v>143385300</v>
      </c>
      <c r="L33" s="163"/>
      <c r="M33" s="163"/>
      <c r="N33" s="163">
        <f>SUM(N9:N32)</f>
        <v>70985000</v>
      </c>
      <c r="O33" s="159"/>
      <c r="P33" s="163">
        <f t="shared" ref="P33:T33" si="6">SUM(P9:P32)</f>
        <v>2189661471.1599998</v>
      </c>
      <c r="Q33" s="163"/>
      <c r="R33" s="163">
        <f t="shared" si="6"/>
        <v>2243066717</v>
      </c>
      <c r="S33" s="163">
        <f t="shared" si="6"/>
        <v>408268603</v>
      </c>
      <c r="T33" s="163">
        <f t="shared" si="6"/>
        <v>4840996791.1599998</v>
      </c>
      <c r="U33" s="159"/>
      <c r="V33" s="127">
        <f t="shared" ref="V33" si="7">SUM(V9:V32)</f>
        <v>1598737917</v>
      </c>
      <c r="W33" s="128">
        <f t="shared" ref="W33" si="8">SUM(W9:W32)</f>
        <v>4196667991.1599998</v>
      </c>
    </row>
    <row r="34" spans="1:23" ht="6" customHeight="1">
      <c r="V34" s="126"/>
      <c r="W34" s="125"/>
    </row>
    <row r="35" spans="1:23" ht="13.2" customHeight="1">
      <c r="B35" s="41" t="s">
        <v>23</v>
      </c>
      <c r="C35" s="41">
        <v>74562862</v>
      </c>
      <c r="E35" s="41">
        <v>0</v>
      </c>
      <c r="F35" s="41">
        <v>0</v>
      </c>
      <c r="G35" s="41">
        <f t="shared" ref="G35:G40" si="9">C35+E35+F35</f>
        <v>74562862</v>
      </c>
      <c r="I35" s="41">
        <f>'(B) Base Bud Adj'!AN34+'(B) Base Bud Adj'!AT34</f>
        <v>12654437</v>
      </c>
      <c r="K35" s="41">
        <f>'(C) 14-15 CSU GF Adjustments'!R33</f>
        <v>1891700</v>
      </c>
      <c r="N35" s="41">
        <f>'(D) Tuition Fee Revenue'!G35+'(D) Tuition Fee Revenue'!J35+'(D) Tuition Fee Revenue'!L35</f>
        <v>0</v>
      </c>
      <c r="P35" s="41">
        <f>C35+K35+I35</f>
        <v>89108999</v>
      </c>
      <c r="R35" s="41">
        <f t="shared" ref="R35:R40" si="10">E35+N35</f>
        <v>0</v>
      </c>
      <c r="S35" s="41">
        <f t="shared" ref="S35:S40" si="11">F35</f>
        <v>0</v>
      </c>
      <c r="T35" s="41">
        <f t="shared" ref="T35:T40" si="12">P35+R35+S35</f>
        <v>89108999</v>
      </c>
      <c r="V35" s="126">
        <f>R35-'(E) Tuit Fee Discounts'!I34</f>
        <v>0</v>
      </c>
      <c r="W35" s="125">
        <f t="shared" ref="W35:W40" si="13">P35+V35+S35</f>
        <v>89108999</v>
      </c>
    </row>
    <row r="36" spans="1:23" ht="13.2" customHeight="1">
      <c r="A36" s="164"/>
      <c r="B36" s="41" t="s">
        <v>29</v>
      </c>
      <c r="C36" s="41">
        <v>884735</v>
      </c>
      <c r="E36" s="41">
        <v>0</v>
      </c>
      <c r="F36" s="41">
        <v>0</v>
      </c>
      <c r="G36" s="41">
        <f t="shared" si="9"/>
        <v>884735</v>
      </c>
      <c r="I36" s="41">
        <f>'(B) Base Bud Adj'!AN35+'(B) Base Bud Adj'!AT35</f>
        <v>0</v>
      </c>
      <c r="K36" s="41">
        <f>'(C) 14-15 CSU GF Adjustments'!R34</f>
        <v>0</v>
      </c>
      <c r="N36" s="41">
        <f>'(D) Tuition Fee Revenue'!G36+'(D) Tuition Fee Revenue'!J36+'(D) Tuition Fee Revenue'!L36</f>
        <v>9000</v>
      </c>
      <c r="P36" s="41">
        <f t="shared" ref="P36:P40" si="14">C36+K36+I36</f>
        <v>884735</v>
      </c>
      <c r="R36" s="41">
        <f t="shared" si="10"/>
        <v>9000</v>
      </c>
      <c r="S36" s="41">
        <f t="shared" si="11"/>
        <v>0</v>
      </c>
      <c r="T36" s="41">
        <f t="shared" si="12"/>
        <v>893735</v>
      </c>
      <c r="V36" s="126">
        <f>R36-'(E) Tuit Fee Discounts'!I35</f>
        <v>9000</v>
      </c>
      <c r="W36" s="125">
        <f t="shared" si="13"/>
        <v>893735</v>
      </c>
    </row>
    <row r="37" spans="1:23" ht="13.2" customHeight="1">
      <c r="A37" s="164"/>
      <c r="B37" s="41" t="s">
        <v>24</v>
      </c>
      <c r="C37" s="41">
        <v>2536619</v>
      </c>
      <c r="E37" s="165">
        <v>2831000</v>
      </c>
      <c r="F37" s="41">
        <v>0</v>
      </c>
      <c r="G37" s="41">
        <f t="shared" si="9"/>
        <v>5367619</v>
      </c>
      <c r="I37" s="41">
        <f>'(B) Base Bud Adj'!AN36+'(B) Base Bud Adj'!AT36</f>
        <v>0</v>
      </c>
      <c r="K37" s="41">
        <f>'(C) 14-15 CSU GF Adjustments'!R35</f>
        <v>0</v>
      </c>
      <c r="N37" s="41">
        <f>'(D) Tuition Fee Revenue'!G37+'(D) Tuition Fee Revenue'!J37+'(D) Tuition Fee Revenue'!L37</f>
        <v>167000</v>
      </c>
      <c r="P37" s="41">
        <f t="shared" si="14"/>
        <v>2536619</v>
      </c>
      <c r="R37" s="41">
        <f t="shared" si="10"/>
        <v>2998000</v>
      </c>
      <c r="S37" s="41">
        <f t="shared" si="11"/>
        <v>0</v>
      </c>
      <c r="T37" s="41">
        <f t="shared" si="12"/>
        <v>5534619</v>
      </c>
      <c r="V37" s="126">
        <f>R37-'(E) Tuit Fee Discounts'!I36</f>
        <v>2998000</v>
      </c>
      <c r="W37" s="125">
        <f t="shared" si="13"/>
        <v>5534619</v>
      </c>
    </row>
    <row r="38" spans="1:23" ht="13.2" customHeight="1">
      <c r="A38" s="164"/>
      <c r="B38" s="41" t="s">
        <v>25</v>
      </c>
      <c r="C38" s="41">
        <v>11800</v>
      </c>
      <c r="E38" s="41">
        <v>544932</v>
      </c>
      <c r="F38" s="41">
        <f>27900+8175</f>
        <v>36075</v>
      </c>
      <c r="G38" s="41">
        <f t="shared" si="9"/>
        <v>592807</v>
      </c>
      <c r="I38" s="41">
        <f>'(B) Base Bud Adj'!AN37+'(B) Base Bud Adj'!AT37</f>
        <v>0</v>
      </c>
      <c r="K38" s="41">
        <f>'(C) 14-15 CSU GF Adjustments'!R36</f>
        <v>0</v>
      </c>
      <c r="N38" s="41">
        <f>'(D) Tuition Fee Revenue'!G38+'(D) Tuition Fee Revenue'!J38+'(D) Tuition Fee Revenue'!L38</f>
        <v>-31000</v>
      </c>
      <c r="P38" s="41">
        <f t="shared" si="14"/>
        <v>11800</v>
      </c>
      <c r="R38" s="41">
        <f t="shared" si="10"/>
        <v>513932</v>
      </c>
      <c r="S38" s="41">
        <f t="shared" si="11"/>
        <v>36075</v>
      </c>
      <c r="T38" s="41">
        <f t="shared" si="12"/>
        <v>561807</v>
      </c>
      <c r="V38" s="126">
        <f>R38-'(E) Tuit Fee Discounts'!I37</f>
        <v>513932</v>
      </c>
      <c r="W38" s="125">
        <f t="shared" si="13"/>
        <v>561807</v>
      </c>
    </row>
    <row r="39" spans="1:23" ht="13.2" customHeight="1">
      <c r="B39" s="41" t="s">
        <v>26</v>
      </c>
      <c r="C39" s="41">
        <f>251783413-90536000</f>
        <v>161247413</v>
      </c>
      <c r="D39" s="166"/>
      <c r="E39" s="41">
        <v>0</v>
      </c>
      <c r="F39" s="41">
        <v>1000</v>
      </c>
      <c r="G39" s="41">
        <f t="shared" si="9"/>
        <v>161248413</v>
      </c>
      <c r="I39" s="41">
        <f>'(B) Base Bud Adj'!AN38+'(B) Base Bud Adj'!AT38</f>
        <v>-41399037</v>
      </c>
      <c r="K39" s="41">
        <f>'(C) 14-15 CSU GF Adjustments'!R37</f>
        <v>-2613000</v>
      </c>
      <c r="N39" s="41">
        <f>'(D) Tuition Fee Revenue'!G39+'(D) Tuition Fee Revenue'!J39+'(D) Tuition Fee Revenue'!L39</f>
        <v>0</v>
      </c>
      <c r="O39" s="167"/>
      <c r="P39" s="41">
        <f t="shared" si="14"/>
        <v>117235376</v>
      </c>
      <c r="R39" s="41">
        <f t="shared" si="10"/>
        <v>0</v>
      </c>
      <c r="S39" s="41">
        <f t="shared" si="11"/>
        <v>1000</v>
      </c>
      <c r="T39" s="41">
        <f t="shared" si="12"/>
        <v>117236376</v>
      </c>
      <c r="V39" s="126">
        <f>R39-'(E) Tuit Fee Discounts'!I38</f>
        <v>0</v>
      </c>
      <c r="W39" s="125">
        <f t="shared" si="13"/>
        <v>117236376</v>
      </c>
    </row>
    <row r="40" spans="1:23" ht="13.2" customHeight="1">
      <c r="A40" s="168"/>
      <c r="B40" s="41" t="s">
        <v>141</v>
      </c>
      <c r="C40" s="41">
        <v>90536000</v>
      </c>
      <c r="D40" s="166"/>
      <c r="E40" s="41">
        <v>0</v>
      </c>
      <c r="F40" s="41">
        <v>0</v>
      </c>
      <c r="G40" s="41">
        <f t="shared" si="9"/>
        <v>90536000</v>
      </c>
      <c r="I40" s="41">
        <f>'(B) Base Bud Adj'!AN39+'(B) Base Bud Adj'!AT39</f>
        <v>205780000</v>
      </c>
      <c r="K40" s="41">
        <f>'(C) 14-15 CSU GF Adjustments'!R38</f>
        <v>0</v>
      </c>
      <c r="N40" s="41">
        <f>'(D) Tuition Fee Revenue'!G40+'(D) Tuition Fee Revenue'!J40+'(D) Tuition Fee Revenue'!L40</f>
        <v>0</v>
      </c>
      <c r="O40" s="167"/>
      <c r="P40" s="41">
        <f t="shared" si="14"/>
        <v>296316000</v>
      </c>
      <c r="R40" s="41">
        <f t="shared" si="10"/>
        <v>0</v>
      </c>
      <c r="S40" s="41">
        <f t="shared" si="11"/>
        <v>0</v>
      </c>
      <c r="T40" s="41">
        <f t="shared" si="12"/>
        <v>296316000</v>
      </c>
      <c r="V40" s="126">
        <f>R40-'(E) Tuit Fee Discounts'!I39</f>
        <v>0</v>
      </c>
      <c r="W40" s="125">
        <f t="shared" si="13"/>
        <v>296316000</v>
      </c>
    </row>
    <row r="41" spans="1:23" ht="6" customHeight="1">
      <c r="V41" s="126"/>
      <c r="W41" s="125"/>
    </row>
    <row r="42" spans="1:23" s="158" customFormat="1" ht="16.2" thickBot="1">
      <c r="B42" s="169" t="s">
        <v>27</v>
      </c>
      <c r="C42" s="169">
        <f>SUM(C33:C40)</f>
        <v>2330500000.1599998</v>
      </c>
      <c r="D42" s="169"/>
      <c r="E42" s="169">
        <f>SUM(E33:E40)</f>
        <v>2175457649</v>
      </c>
      <c r="F42" s="169">
        <f>SUM(F33:F40)</f>
        <v>408305678</v>
      </c>
      <c r="G42" s="169">
        <f>SUM(G33:G40)</f>
        <v>4914263327.1599998</v>
      </c>
      <c r="H42" s="159"/>
      <c r="I42" s="169">
        <f>SUM(I33:I40)</f>
        <v>222591000</v>
      </c>
      <c r="J42" s="169"/>
      <c r="K42" s="169">
        <f>SUM(K33:K40)</f>
        <v>142664000</v>
      </c>
      <c r="L42" s="169"/>
      <c r="M42" s="169"/>
      <c r="N42" s="169">
        <f>SUM(N33:N40)</f>
        <v>71130000</v>
      </c>
      <c r="O42" s="159"/>
      <c r="P42" s="169">
        <f>SUM(P33:P40)</f>
        <v>2695755000.1599998</v>
      </c>
      <c r="Q42" s="282"/>
      <c r="R42" s="169">
        <f>SUM(R33:R40)</f>
        <v>2246587649</v>
      </c>
      <c r="S42" s="169">
        <f>SUM(S33:S40)</f>
        <v>408305678</v>
      </c>
      <c r="T42" s="169">
        <f>SUM(T33:T40)</f>
        <v>5350648327.1599998</v>
      </c>
      <c r="U42" s="159"/>
      <c r="V42" s="127">
        <f>SUM(V33:V40)</f>
        <v>1602258849</v>
      </c>
      <c r="W42" s="128">
        <f>SUM(W33:W40)</f>
        <v>4706319527.1599998</v>
      </c>
    </row>
    <row r="43" spans="1:23" ht="6" customHeight="1"/>
    <row r="44" spans="1:23" ht="25.8" customHeight="1">
      <c r="A44" s="423" t="s">
        <v>140</v>
      </c>
      <c r="B44" s="423"/>
      <c r="C44" s="423"/>
      <c r="D44" s="423"/>
      <c r="E44" s="423"/>
      <c r="F44" s="423"/>
      <c r="G44" s="423"/>
      <c r="H44" s="423"/>
      <c r="I44" s="423"/>
      <c r="J44" s="423"/>
      <c r="K44" s="423"/>
      <c r="L44" s="423"/>
      <c r="M44" s="423"/>
      <c r="N44" s="423"/>
      <c r="O44" s="423"/>
      <c r="P44" s="423"/>
      <c r="Q44" s="423"/>
      <c r="R44" s="423"/>
      <c r="S44" s="423"/>
      <c r="T44" s="423"/>
      <c r="U44" s="423"/>
      <c r="V44" s="423"/>
      <c r="W44" s="283"/>
    </row>
    <row r="45" spans="1:23" ht="14.4">
      <c r="A45" s="168"/>
      <c r="B45" s="170"/>
      <c r="E45" s="171"/>
      <c r="F45" s="171"/>
      <c r="G45" s="171"/>
      <c r="H45" s="172"/>
      <c r="I45" s="173"/>
      <c r="J45" s="173"/>
      <c r="K45" s="173"/>
      <c r="L45" s="173"/>
      <c r="M45" s="173"/>
      <c r="N45" s="173"/>
      <c r="O45" s="174"/>
      <c r="P45" s="175"/>
      <c r="Q45" s="175"/>
      <c r="R45" s="171"/>
      <c r="S45" s="171"/>
    </row>
    <row r="46" spans="1:23" ht="18" customHeight="1">
      <c r="C46" s="343"/>
      <c r="D46" s="343"/>
      <c r="E46" s="343"/>
      <c r="F46" s="343"/>
      <c r="G46" s="343"/>
      <c r="H46" s="343"/>
      <c r="I46" s="343"/>
      <c r="J46" s="343"/>
      <c r="K46" s="343"/>
      <c r="L46" s="343"/>
      <c r="M46" s="343"/>
      <c r="N46" s="343"/>
      <c r="O46" s="343"/>
      <c r="P46" s="129"/>
      <c r="Q46" s="129"/>
      <c r="R46" s="343"/>
      <c r="S46" s="343"/>
    </row>
    <row r="51" spans="16:17">
      <c r="P51" s="176"/>
      <c r="Q51" s="176"/>
    </row>
  </sheetData>
  <mergeCells count="9">
    <mergeCell ref="A44:V44"/>
    <mergeCell ref="V4:W5"/>
    <mergeCell ref="J6:L6"/>
    <mergeCell ref="C4:G4"/>
    <mergeCell ref="P4:T4"/>
    <mergeCell ref="I5:L5"/>
    <mergeCell ref="P5:T5"/>
    <mergeCell ref="I4:N4"/>
    <mergeCell ref="E5:E6"/>
  </mergeCells>
  <phoneticPr fontId="0" type="noConversion"/>
  <printOptions horizontalCentered="1"/>
  <pageMargins left="0.25" right="0.25" top="0.5" bottom="0.25" header="0.5" footer="0.5"/>
  <pageSetup paperSize="5" scale="8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49"/>
  <sheetViews>
    <sheetView zoomScaleNormal="100" workbookViewId="0">
      <pane xSplit="1" ySplit="5" topLeftCell="B6" activePane="bottomRight" state="frozen"/>
      <selection activeCell="P9" sqref="P9"/>
      <selection pane="topRight" activeCell="P9" sqref="P9"/>
      <selection pane="bottomLeft" activeCell="P9" sqref="P9"/>
      <selection pane="bottomRight" activeCell="A5" sqref="A5"/>
    </sheetView>
  </sheetViews>
  <sheetFormatPr defaultColWidth="9.33203125" defaultRowHeight="13.2"/>
  <cols>
    <col min="1" max="1" width="25.77734375" style="41" customWidth="1"/>
    <col min="2" max="2" width="1.77734375" style="41" customWidth="1"/>
    <col min="3" max="3" width="14.109375" style="41" bestFit="1" customWidth="1"/>
    <col min="4" max="4" width="1.77734375" style="41" customWidth="1"/>
    <col min="5" max="5" width="1.77734375" style="228" customWidth="1"/>
    <col min="6" max="6" width="11.5546875" style="228" bestFit="1" customWidth="1"/>
    <col min="7" max="7" width="1.77734375" style="228" bestFit="1" customWidth="1"/>
    <col min="8" max="8" width="1.77734375" style="228" customWidth="1"/>
    <col min="9" max="9" width="16.44140625" style="228" bestFit="1" customWidth="1"/>
    <col min="10" max="11" width="1.77734375" style="228" customWidth="1"/>
    <col min="12" max="12" width="10.5546875" style="228" bestFit="1" customWidth="1"/>
    <col min="13" max="15" width="1.77734375" style="228" customWidth="1"/>
    <col min="16" max="16" width="11.5546875" style="228" bestFit="1" customWidth="1"/>
    <col min="17" max="19" width="1.77734375" style="228" customWidth="1"/>
    <col min="20" max="20" width="10.5546875" style="228" bestFit="1" customWidth="1"/>
    <col min="21" max="22" width="1.77734375" style="228" customWidth="1"/>
    <col min="23" max="23" width="2.77734375" style="228" customWidth="1"/>
    <col min="24" max="24" width="11.21875" style="228" bestFit="1" customWidth="1"/>
    <col min="25" max="25" width="2.77734375" style="228" customWidth="1"/>
    <col min="26" max="26" width="1.77734375" style="228" customWidth="1"/>
    <col min="27" max="27" width="12" style="228" bestFit="1" customWidth="1"/>
    <col min="28" max="28" width="1.88671875" style="228" customWidth="1"/>
    <col min="29" max="29" width="1.77734375" style="228" customWidth="1"/>
    <col min="30" max="30" width="12.5546875" style="228" bestFit="1" customWidth="1"/>
    <col min="31" max="31" width="1.77734375" style="228" customWidth="1"/>
    <col min="32" max="32" width="2.77734375" style="228" customWidth="1"/>
    <col min="33" max="33" width="10.5546875" style="228" bestFit="1" customWidth="1"/>
    <col min="34" max="34" width="2.77734375" style="228" customWidth="1"/>
    <col min="35" max="35" width="1.77734375" style="228" customWidth="1"/>
    <col min="36" max="36" width="4.77734375" style="228" customWidth="1"/>
    <col min="37" max="37" width="10.21875" style="228" bestFit="1" customWidth="1"/>
    <col min="38" max="38" width="4.88671875" style="228" customWidth="1"/>
    <col min="39" max="39" width="1.77734375" style="228" customWidth="1"/>
    <col min="40" max="40" width="14.6640625" style="228" bestFit="1" customWidth="1"/>
    <col min="41" max="41" width="1.77734375" style="228" customWidth="1"/>
    <col min="42" max="42" width="2.77734375" style="228" customWidth="1"/>
    <col min="43" max="43" width="14.109375" style="228" bestFit="1" customWidth="1"/>
    <col min="44" max="44" width="2.77734375" style="41" customWidth="1"/>
    <col min="45" max="45" width="1.77734375" style="41" customWidth="1"/>
    <col min="46" max="46" width="14.44140625" style="41" bestFit="1" customWidth="1"/>
    <col min="47" max="47" width="1.77734375" style="41" customWidth="1"/>
    <col min="48" max="48" width="2.77734375" style="41" customWidth="1"/>
    <col min="49" max="49" width="14.44140625" style="41" customWidth="1"/>
    <col min="50" max="50" width="2.77734375" style="41" customWidth="1"/>
    <col min="51" max="51" width="2" style="41" customWidth="1"/>
    <col min="52" max="52" width="15" style="130" customWidth="1"/>
    <col min="53" max="53" width="9.33203125" style="41"/>
    <col min="54" max="54" width="12.77734375" style="41" bestFit="1" customWidth="1"/>
    <col min="55" max="16384" width="9.33203125" style="41"/>
  </cols>
  <sheetData>
    <row r="1" spans="1:54" ht="16.8">
      <c r="A1" s="1" t="s">
        <v>163</v>
      </c>
      <c r="B1" s="1"/>
      <c r="C1" s="348"/>
      <c r="D1" s="348"/>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T1" s="349"/>
      <c r="AU1" s="349"/>
      <c r="AV1" s="350"/>
      <c r="AW1" s="349"/>
    </row>
    <row r="2" spans="1:54" ht="6" customHeight="1">
      <c r="A2" s="1"/>
      <c r="B2" s="1"/>
      <c r="C2" s="348"/>
      <c r="D2" s="348"/>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row>
    <row r="3" spans="1:54" s="351" customFormat="1" ht="13.8">
      <c r="C3" s="145">
        <f>-1</f>
        <v>-1</v>
      </c>
      <c r="D3" s="145"/>
      <c r="E3" s="145"/>
      <c r="F3" s="145">
        <v>-2</v>
      </c>
      <c r="G3" s="145"/>
      <c r="H3" s="145"/>
      <c r="I3" s="145">
        <v>-3</v>
      </c>
      <c r="J3" s="145"/>
      <c r="L3" s="352">
        <v>-4</v>
      </c>
      <c r="M3" s="352"/>
      <c r="N3" s="352"/>
      <c r="O3" s="352"/>
      <c r="P3" s="352">
        <f>-5</f>
        <v>-5</v>
      </c>
      <c r="Q3" s="352"/>
      <c r="R3" s="352"/>
      <c r="S3" s="352"/>
      <c r="T3" s="352">
        <f>-6</f>
        <v>-6</v>
      </c>
      <c r="U3" s="352"/>
      <c r="V3" s="352"/>
      <c r="X3" s="352">
        <f>-7</f>
        <v>-7</v>
      </c>
      <c r="Y3" s="352"/>
      <c r="Z3" s="352"/>
      <c r="AA3" s="353" t="s">
        <v>58</v>
      </c>
      <c r="AB3" s="352"/>
      <c r="AC3" s="352"/>
      <c r="AD3" s="353" t="s">
        <v>67</v>
      </c>
      <c r="AE3" s="352"/>
      <c r="AF3" s="352"/>
      <c r="AG3" s="353" t="s">
        <v>71</v>
      </c>
      <c r="AH3" s="352"/>
      <c r="AI3" s="352"/>
      <c r="AJ3" s="352"/>
      <c r="AK3" s="353" t="s">
        <v>59</v>
      </c>
      <c r="AL3" s="352"/>
      <c r="AM3" s="145"/>
      <c r="AN3" s="353" t="s">
        <v>95</v>
      </c>
      <c r="AO3" s="145"/>
      <c r="AP3" s="145"/>
      <c r="AQ3" s="353" t="s">
        <v>96</v>
      </c>
      <c r="AT3" s="353" t="s">
        <v>143</v>
      </c>
      <c r="AU3" s="353"/>
      <c r="AV3" s="353"/>
      <c r="AW3" s="353" t="s">
        <v>144</v>
      </c>
      <c r="AZ3" s="421"/>
    </row>
    <row r="4" spans="1:54" s="354" customFormat="1" ht="6" customHeight="1">
      <c r="C4" s="225"/>
      <c r="D4" s="225"/>
      <c r="E4" s="225"/>
      <c r="F4" s="225"/>
      <c r="G4" s="225"/>
      <c r="H4" s="225"/>
      <c r="I4" s="225"/>
      <c r="J4" s="225"/>
      <c r="K4" s="225"/>
      <c r="L4" s="225"/>
      <c r="M4" s="225"/>
      <c r="N4" s="225"/>
      <c r="O4" s="225"/>
      <c r="P4" s="225"/>
      <c r="Q4" s="225"/>
      <c r="R4" s="225"/>
      <c r="S4" s="225"/>
      <c r="T4" s="225"/>
      <c r="U4" s="225"/>
      <c r="V4" s="225"/>
      <c r="W4" s="225"/>
      <c r="X4" s="355"/>
      <c r="Y4" s="355"/>
      <c r="Z4" s="355"/>
      <c r="AA4" s="355"/>
      <c r="AB4" s="355"/>
      <c r="AC4" s="355"/>
      <c r="AD4" s="355"/>
      <c r="AE4" s="355"/>
      <c r="AF4" s="355"/>
      <c r="AG4" s="355"/>
      <c r="AH4" s="355"/>
      <c r="AI4" s="355"/>
      <c r="AJ4" s="355"/>
      <c r="AK4" s="355"/>
      <c r="AL4" s="355"/>
      <c r="AM4" s="225"/>
      <c r="AN4" s="225"/>
      <c r="AO4" s="225"/>
      <c r="AP4" s="225"/>
      <c r="AQ4" s="225"/>
      <c r="AZ4" s="422"/>
    </row>
    <row r="5" spans="1:54" s="150" customFormat="1" ht="71.400000000000006" customHeight="1">
      <c r="A5" s="151"/>
      <c r="B5" s="446" t="s">
        <v>89</v>
      </c>
      <c r="C5" s="435"/>
      <c r="D5" s="447"/>
      <c r="E5" s="151"/>
      <c r="F5" s="151" t="s">
        <v>91</v>
      </c>
      <c r="G5" s="221">
        <v>1</v>
      </c>
      <c r="H5" s="151"/>
      <c r="I5" s="356" t="s">
        <v>90</v>
      </c>
      <c r="J5" s="151"/>
      <c r="K5" s="442" t="s">
        <v>155</v>
      </c>
      <c r="L5" s="442"/>
      <c r="M5" s="442"/>
      <c r="N5" s="151"/>
      <c r="O5" s="442" t="s">
        <v>113</v>
      </c>
      <c r="P5" s="442"/>
      <c r="Q5" s="442"/>
      <c r="R5" s="151"/>
      <c r="S5" s="442" t="s">
        <v>119</v>
      </c>
      <c r="T5" s="442"/>
      <c r="U5" s="442"/>
      <c r="V5" s="151"/>
      <c r="W5" s="442" t="s">
        <v>156</v>
      </c>
      <c r="X5" s="442"/>
      <c r="Y5" s="442"/>
      <c r="Z5" s="151"/>
      <c r="AA5" s="151" t="s">
        <v>114</v>
      </c>
      <c r="AB5" s="357">
        <v>3</v>
      </c>
      <c r="AC5" s="151"/>
      <c r="AD5" s="151" t="s">
        <v>100</v>
      </c>
      <c r="AE5" s="151"/>
      <c r="AF5" s="442" t="s">
        <v>157</v>
      </c>
      <c r="AG5" s="442"/>
      <c r="AH5" s="442"/>
      <c r="AI5" s="151"/>
      <c r="AJ5" s="448" t="s">
        <v>120</v>
      </c>
      <c r="AK5" s="448"/>
      <c r="AL5" s="448"/>
      <c r="AM5" s="221"/>
      <c r="AN5" s="356" t="s">
        <v>133</v>
      </c>
      <c r="AO5" s="221"/>
      <c r="AP5" s="443" t="s">
        <v>165</v>
      </c>
      <c r="AQ5" s="444"/>
      <c r="AR5" s="445"/>
      <c r="AS5" s="324"/>
      <c r="AT5" s="356" t="s">
        <v>171</v>
      </c>
      <c r="AU5" s="151"/>
      <c r="AV5" s="438" t="s">
        <v>158</v>
      </c>
      <c r="AW5" s="439"/>
      <c r="AX5" s="440"/>
      <c r="AZ5" s="420"/>
    </row>
    <row r="6" spans="1:54" s="364" customFormat="1" ht="15.6">
      <c r="A6" s="189"/>
      <c r="B6" s="358"/>
      <c r="C6" s="189"/>
      <c r="D6" s="359"/>
      <c r="E6" s="189"/>
      <c r="F6" s="189"/>
      <c r="G6" s="189"/>
      <c r="H6" s="189"/>
      <c r="I6" s="360" t="s">
        <v>72</v>
      </c>
      <c r="J6" s="330"/>
      <c r="K6" s="189"/>
      <c r="L6" s="189"/>
      <c r="M6" s="189"/>
      <c r="N6" s="189"/>
      <c r="O6" s="189"/>
      <c r="P6" s="189"/>
      <c r="Q6" s="189"/>
      <c r="R6" s="189"/>
      <c r="S6" s="189"/>
      <c r="T6" s="189"/>
      <c r="U6" s="189"/>
      <c r="V6" s="189"/>
      <c r="W6" s="189"/>
      <c r="X6" s="330"/>
      <c r="Y6" s="330"/>
      <c r="Z6" s="330"/>
      <c r="AA6" s="330"/>
      <c r="AB6" s="330"/>
      <c r="AC6" s="330"/>
      <c r="AD6" s="330"/>
      <c r="AE6" s="330"/>
      <c r="AF6" s="330"/>
      <c r="AG6" s="330"/>
      <c r="AH6" s="330"/>
      <c r="AI6" s="330"/>
      <c r="AJ6" s="441" t="s">
        <v>106</v>
      </c>
      <c r="AK6" s="441"/>
      <c r="AL6" s="441"/>
      <c r="AM6" s="330"/>
      <c r="AN6" s="361" t="s">
        <v>116</v>
      </c>
      <c r="AO6" s="330"/>
      <c r="AP6" s="362"/>
      <c r="AQ6" s="330" t="s">
        <v>117</v>
      </c>
      <c r="AR6" s="359"/>
      <c r="AS6" s="189"/>
      <c r="AT6" s="363" t="s">
        <v>153</v>
      </c>
      <c r="AU6" s="189"/>
      <c r="AV6" s="358"/>
      <c r="AW6" s="330" t="s">
        <v>145</v>
      </c>
      <c r="AX6" s="359"/>
      <c r="AZ6" s="189"/>
    </row>
    <row r="7" spans="1:54" ht="7.5" customHeight="1">
      <c r="A7" s="130"/>
      <c r="B7" s="365"/>
      <c r="C7" s="130"/>
      <c r="D7" s="366"/>
      <c r="E7" s="224"/>
      <c r="F7" s="224"/>
      <c r="G7" s="224"/>
      <c r="H7" s="224"/>
      <c r="I7" s="367"/>
      <c r="J7" s="224"/>
      <c r="K7" s="224"/>
      <c r="L7" s="224"/>
      <c r="M7" s="224"/>
      <c r="N7" s="224"/>
      <c r="O7" s="224"/>
      <c r="P7" s="224"/>
      <c r="Q7" s="224"/>
      <c r="R7" s="224"/>
      <c r="S7" s="224"/>
      <c r="T7" s="224"/>
      <c r="U7" s="224"/>
      <c r="V7" s="224"/>
      <c r="W7" s="224"/>
      <c r="X7" s="368"/>
      <c r="Y7" s="368"/>
      <c r="Z7" s="368"/>
      <c r="AA7" s="368"/>
      <c r="AB7" s="368"/>
      <c r="AC7" s="368"/>
      <c r="AD7" s="368"/>
      <c r="AE7" s="368"/>
      <c r="AF7" s="368"/>
      <c r="AG7" s="368"/>
      <c r="AH7" s="368"/>
      <c r="AI7" s="368"/>
      <c r="AJ7" s="239"/>
      <c r="AK7" s="239"/>
      <c r="AL7" s="272"/>
      <c r="AM7" s="368"/>
      <c r="AN7" s="369"/>
      <c r="AO7" s="368"/>
      <c r="AP7" s="370"/>
      <c r="AQ7" s="368"/>
      <c r="AR7" s="366"/>
      <c r="AS7" s="130"/>
      <c r="AT7" s="371"/>
      <c r="AU7" s="130"/>
      <c r="AV7" s="365"/>
      <c r="AW7" s="130"/>
      <c r="AX7" s="366"/>
    </row>
    <row r="8" spans="1:54" s="383" customFormat="1" ht="13.2" customHeight="1">
      <c r="A8" s="372" t="s">
        <v>0</v>
      </c>
      <c r="B8" s="373"/>
      <c r="C8" s="226">
        <f>'(A) Budget Summary'!C9</f>
        <v>51343309</v>
      </c>
      <c r="D8" s="374"/>
      <c r="E8" s="226"/>
      <c r="F8" s="226">
        <v>298300</v>
      </c>
      <c r="G8" s="375"/>
      <c r="H8" s="226"/>
      <c r="I8" s="376">
        <f t="shared" ref="I8:I30" si="0">C8+F8</f>
        <v>51641609</v>
      </c>
      <c r="J8" s="226"/>
      <c r="K8" s="226"/>
      <c r="L8" s="372">
        <v>30400</v>
      </c>
      <c r="M8" s="372"/>
      <c r="N8" s="372"/>
      <c r="O8" s="372"/>
      <c r="P8" s="372">
        <v>744000</v>
      </c>
      <c r="Q8" s="372"/>
      <c r="R8" s="372"/>
      <c r="S8" s="372"/>
      <c r="T8" s="372">
        <v>50100</v>
      </c>
      <c r="U8" s="372"/>
      <c r="V8" s="372"/>
      <c r="W8" s="226"/>
      <c r="X8" s="226">
        <v>0</v>
      </c>
      <c r="Y8" s="226"/>
      <c r="Z8" s="226"/>
      <c r="AA8" s="226"/>
      <c r="AB8" s="226"/>
      <c r="AC8" s="226"/>
      <c r="AD8" s="226"/>
      <c r="AE8" s="226"/>
      <c r="AF8" s="226"/>
      <c r="AG8" s="377">
        <v>20700</v>
      </c>
      <c r="AH8" s="226"/>
      <c r="AI8" s="226"/>
      <c r="AJ8" s="273"/>
      <c r="AK8" s="274">
        <f>'(D) Tuition Fee Revenue'!N9+'(E) Tuit Fee Discounts'!L8</f>
        <v>22900</v>
      </c>
      <c r="AL8" s="274"/>
      <c r="AM8" s="226"/>
      <c r="AN8" s="376">
        <f t="shared" ref="AN8:AN30" si="1">SUM(L8:AK8)+F8</f>
        <v>1166400</v>
      </c>
      <c r="AO8" s="226"/>
      <c r="AP8" s="373"/>
      <c r="AQ8" s="226">
        <f t="shared" ref="AQ8:AQ30" si="2">C8+AN8</f>
        <v>52509709</v>
      </c>
      <c r="AR8" s="374"/>
      <c r="AS8" s="226"/>
      <c r="AT8" s="378">
        <f>-ROUND(((AQ8/($AQ$32+$AQ$34))*24535000)/100,0)*100</f>
        <v>-597000</v>
      </c>
      <c r="AU8" s="379"/>
      <c r="AV8" s="380"/>
      <c r="AW8" s="381">
        <f>AQ8+AT8</f>
        <v>51912709</v>
      </c>
      <c r="AX8" s="382"/>
      <c r="AZ8" s="159"/>
    </row>
    <row r="9" spans="1:54" s="350" customFormat="1" ht="13.2" customHeight="1">
      <c r="A9" s="228" t="s">
        <v>1</v>
      </c>
      <c r="B9" s="384"/>
      <c r="C9" s="224">
        <f>'(A) Budget Summary'!C10</f>
        <v>48496910</v>
      </c>
      <c r="D9" s="385"/>
      <c r="E9" s="227"/>
      <c r="F9" s="227">
        <v>255000</v>
      </c>
      <c r="G9" s="386"/>
      <c r="H9" s="227"/>
      <c r="I9" s="387">
        <f t="shared" si="0"/>
        <v>48751910</v>
      </c>
      <c r="J9" s="388"/>
      <c r="K9" s="227"/>
      <c r="L9" s="228">
        <v>12000</v>
      </c>
      <c r="M9" s="228"/>
      <c r="N9" s="228"/>
      <c r="O9" s="228"/>
      <c r="P9" s="228">
        <v>653000</v>
      </c>
      <c r="Q9" s="228"/>
      <c r="R9" s="228"/>
      <c r="S9" s="228"/>
      <c r="T9" s="228">
        <v>54400</v>
      </c>
      <c r="U9" s="228"/>
      <c r="V9" s="228"/>
      <c r="W9" s="227"/>
      <c r="X9" s="224">
        <v>0</v>
      </c>
      <c r="Y9" s="224"/>
      <c r="Z9" s="224"/>
      <c r="AA9" s="226">
        <v>4854000</v>
      </c>
      <c r="AB9" s="41"/>
      <c r="AC9" s="224"/>
      <c r="AD9" s="224"/>
      <c r="AE9" s="224"/>
      <c r="AF9" s="224"/>
      <c r="AG9" s="389">
        <v>13100</v>
      </c>
      <c r="AH9" s="224"/>
      <c r="AI9" s="224"/>
      <c r="AJ9" s="273"/>
      <c r="AK9" s="273">
        <f>'(D) Tuition Fee Revenue'!N10+'(E) Tuit Fee Discounts'!L9</f>
        <v>1600500</v>
      </c>
      <c r="AL9" s="273"/>
      <c r="AM9" s="224"/>
      <c r="AN9" s="367">
        <f t="shared" si="1"/>
        <v>7442000</v>
      </c>
      <c r="AO9" s="224"/>
      <c r="AP9" s="384"/>
      <c r="AQ9" s="224">
        <f t="shared" si="2"/>
        <v>55938910</v>
      </c>
      <c r="AR9" s="385"/>
      <c r="AS9" s="224"/>
      <c r="AT9" s="390">
        <f t="shared" ref="AT9:AT30" si="3">-ROUND(((AQ9/($AQ$32+$AQ$34))*24535000)/100,0)*100</f>
        <v>-636000</v>
      </c>
      <c r="AU9" s="391"/>
      <c r="AV9" s="392"/>
      <c r="AW9" s="393">
        <f>AQ9+AT9</f>
        <v>55302910</v>
      </c>
      <c r="AX9" s="394"/>
      <c r="AZ9" s="130"/>
      <c r="BB9" s="383"/>
    </row>
    <row r="10" spans="1:54" s="350" customFormat="1" ht="13.2" customHeight="1">
      <c r="A10" s="228" t="s">
        <v>2</v>
      </c>
      <c r="B10" s="384"/>
      <c r="C10" s="224">
        <f>'(A) Budget Summary'!C11</f>
        <v>85954532</v>
      </c>
      <c r="D10" s="385"/>
      <c r="E10" s="227"/>
      <c r="F10" s="227">
        <v>566600</v>
      </c>
      <c r="G10" s="386"/>
      <c r="H10" s="227"/>
      <c r="I10" s="387">
        <f t="shared" si="0"/>
        <v>86521132</v>
      </c>
      <c r="J10" s="388"/>
      <c r="K10" s="227"/>
      <c r="L10" s="228">
        <v>70400</v>
      </c>
      <c r="M10" s="228"/>
      <c r="N10" s="228"/>
      <c r="O10" s="228"/>
      <c r="P10" s="228">
        <v>1468000</v>
      </c>
      <c r="Q10" s="228"/>
      <c r="R10" s="228"/>
      <c r="S10" s="228"/>
      <c r="T10" s="228">
        <v>92800</v>
      </c>
      <c r="U10" s="228"/>
      <c r="V10" s="228"/>
      <c r="W10" s="227"/>
      <c r="X10" s="224">
        <f>393200</f>
        <v>393200</v>
      </c>
      <c r="Y10" s="224"/>
      <c r="Z10" s="224"/>
      <c r="AA10" s="224"/>
      <c r="AB10" s="224"/>
      <c r="AC10" s="224"/>
      <c r="AD10" s="224"/>
      <c r="AE10" s="224"/>
      <c r="AF10" s="224"/>
      <c r="AG10" s="389">
        <v>42300</v>
      </c>
      <c r="AH10" s="224"/>
      <c r="AI10" s="224"/>
      <c r="AJ10" s="273"/>
      <c r="AK10" s="273">
        <f>'(D) Tuition Fee Revenue'!N11+'(E) Tuit Fee Discounts'!L10</f>
        <v>-423600</v>
      </c>
      <c r="AL10" s="273"/>
      <c r="AM10" s="224"/>
      <c r="AN10" s="367">
        <f t="shared" si="1"/>
        <v>2209700</v>
      </c>
      <c r="AO10" s="224"/>
      <c r="AP10" s="384"/>
      <c r="AQ10" s="224">
        <f t="shared" si="2"/>
        <v>88164232</v>
      </c>
      <c r="AR10" s="385"/>
      <c r="AS10" s="224"/>
      <c r="AT10" s="390">
        <f>-ROUND(((AQ10/($AQ$32+$AQ$34))*24535000)/100,0)*100+100</f>
        <v>-1002300</v>
      </c>
      <c r="AU10" s="391"/>
      <c r="AV10" s="392"/>
      <c r="AW10" s="393">
        <f t="shared" ref="AW10:AW30" si="4">AQ10+AT10</f>
        <v>87161932</v>
      </c>
      <c r="AX10" s="394"/>
      <c r="AZ10" s="130"/>
      <c r="BB10" s="383"/>
    </row>
    <row r="11" spans="1:54" s="350" customFormat="1" ht="13.2" customHeight="1">
      <c r="A11" s="228" t="s">
        <v>3</v>
      </c>
      <c r="B11" s="384"/>
      <c r="C11" s="224">
        <f>'(A) Budget Summary'!C12</f>
        <v>61880052</v>
      </c>
      <c r="D11" s="385"/>
      <c r="E11" s="227"/>
      <c r="F11" s="227">
        <v>376400</v>
      </c>
      <c r="G11" s="386"/>
      <c r="H11" s="227"/>
      <c r="I11" s="387">
        <f t="shared" si="0"/>
        <v>62256452</v>
      </c>
      <c r="J11" s="388"/>
      <c r="K11" s="227"/>
      <c r="L11" s="228">
        <v>38900</v>
      </c>
      <c r="M11" s="228"/>
      <c r="N11" s="228"/>
      <c r="O11" s="228"/>
      <c r="P11" s="228">
        <v>918000</v>
      </c>
      <c r="Q11" s="228"/>
      <c r="R11" s="228"/>
      <c r="S11" s="228"/>
      <c r="T11" s="228">
        <v>72700</v>
      </c>
      <c r="U11" s="228"/>
      <c r="V11" s="228"/>
      <c r="W11" s="227"/>
      <c r="X11" s="224">
        <v>0</v>
      </c>
      <c r="Y11" s="224"/>
      <c r="Z11" s="224"/>
      <c r="AA11" s="224"/>
      <c r="AB11" s="224"/>
      <c r="AC11" s="224"/>
      <c r="AD11" s="224"/>
      <c r="AE11" s="224"/>
      <c r="AF11" s="224"/>
      <c r="AG11" s="389">
        <v>31600</v>
      </c>
      <c r="AH11" s="224"/>
      <c r="AI11" s="224"/>
      <c r="AJ11" s="273"/>
      <c r="AK11" s="273">
        <f>'(D) Tuition Fee Revenue'!N12+'(E) Tuit Fee Discounts'!L11</f>
        <v>-858900</v>
      </c>
      <c r="AL11" s="273"/>
      <c r="AM11" s="224"/>
      <c r="AN11" s="367">
        <f t="shared" si="1"/>
        <v>578700</v>
      </c>
      <c r="AO11" s="224"/>
      <c r="AP11" s="384"/>
      <c r="AQ11" s="224">
        <f t="shared" si="2"/>
        <v>62458752</v>
      </c>
      <c r="AR11" s="385"/>
      <c r="AS11" s="224"/>
      <c r="AT11" s="390">
        <f t="shared" si="3"/>
        <v>-710100</v>
      </c>
      <c r="AU11" s="391"/>
      <c r="AV11" s="392"/>
      <c r="AW11" s="393">
        <f t="shared" si="4"/>
        <v>61748652</v>
      </c>
      <c r="AX11" s="394"/>
      <c r="AZ11" s="130"/>
      <c r="BB11" s="383"/>
    </row>
    <row r="12" spans="1:54" s="350" customFormat="1" ht="13.2" customHeight="1">
      <c r="A12" s="228" t="s">
        <v>28</v>
      </c>
      <c r="B12" s="384"/>
      <c r="C12" s="224">
        <f>'(A) Budget Summary'!C13</f>
        <v>67147261</v>
      </c>
      <c r="D12" s="385"/>
      <c r="E12" s="227"/>
      <c r="F12" s="227">
        <v>518100</v>
      </c>
      <c r="G12" s="386"/>
      <c r="H12" s="227"/>
      <c r="I12" s="387">
        <f t="shared" si="0"/>
        <v>67665361</v>
      </c>
      <c r="J12" s="388"/>
      <c r="K12" s="227"/>
      <c r="L12" s="228">
        <v>41200</v>
      </c>
      <c r="M12" s="228"/>
      <c r="N12" s="228"/>
      <c r="O12" s="228"/>
      <c r="P12" s="228">
        <v>1359000</v>
      </c>
      <c r="Q12" s="228"/>
      <c r="R12" s="228"/>
      <c r="S12" s="228"/>
      <c r="T12" s="228">
        <v>80100</v>
      </c>
      <c r="U12" s="228"/>
      <c r="V12" s="228"/>
      <c r="W12" s="227"/>
      <c r="X12" s="224">
        <f>664300</f>
        <v>664300</v>
      </c>
      <c r="Y12" s="224"/>
      <c r="Z12" s="224"/>
      <c r="AA12" s="224"/>
      <c r="AB12" s="224"/>
      <c r="AC12" s="224"/>
      <c r="AD12" s="224"/>
      <c r="AE12" s="224"/>
      <c r="AF12" s="224"/>
      <c r="AG12" s="389">
        <v>45500</v>
      </c>
      <c r="AH12" s="224"/>
      <c r="AI12" s="224"/>
      <c r="AJ12" s="273"/>
      <c r="AK12" s="273">
        <f>'(D) Tuition Fee Revenue'!N13+'(E) Tuit Fee Discounts'!L12</f>
        <v>-153100</v>
      </c>
      <c r="AL12" s="273"/>
      <c r="AM12" s="224"/>
      <c r="AN12" s="367">
        <f t="shared" si="1"/>
        <v>2555100</v>
      </c>
      <c r="AO12" s="224"/>
      <c r="AP12" s="384"/>
      <c r="AQ12" s="224">
        <f t="shared" si="2"/>
        <v>69702361</v>
      </c>
      <c r="AR12" s="385"/>
      <c r="AS12" s="224"/>
      <c r="AT12" s="390">
        <f t="shared" si="3"/>
        <v>-792500</v>
      </c>
      <c r="AU12" s="391"/>
      <c r="AV12" s="392"/>
      <c r="AW12" s="393">
        <f t="shared" si="4"/>
        <v>68909861</v>
      </c>
      <c r="AX12" s="394"/>
      <c r="AZ12" s="130"/>
      <c r="BB12" s="383"/>
    </row>
    <row r="13" spans="1:54" s="350" customFormat="1" ht="13.2" customHeight="1">
      <c r="A13" s="228" t="s">
        <v>4</v>
      </c>
      <c r="B13" s="384"/>
      <c r="C13" s="224">
        <f>'(A) Budget Summary'!C14</f>
        <v>108604732</v>
      </c>
      <c r="D13" s="385"/>
      <c r="E13" s="227"/>
      <c r="F13" s="227">
        <v>699700</v>
      </c>
      <c r="G13" s="386"/>
      <c r="H13" s="227"/>
      <c r="I13" s="387">
        <f t="shared" si="0"/>
        <v>109304432</v>
      </c>
      <c r="J13" s="388"/>
      <c r="K13" s="227"/>
      <c r="L13" s="228">
        <v>67700</v>
      </c>
      <c r="M13" s="228"/>
      <c r="N13" s="228"/>
      <c r="O13" s="228"/>
      <c r="P13" s="228">
        <v>1838000</v>
      </c>
      <c r="Q13" s="228"/>
      <c r="R13" s="228"/>
      <c r="S13" s="228"/>
      <c r="T13" s="228">
        <v>94000</v>
      </c>
      <c r="U13" s="228"/>
      <c r="V13" s="228"/>
      <c r="W13" s="227"/>
      <c r="X13" s="224">
        <f>498400</f>
        <v>498400</v>
      </c>
      <c r="Y13" s="224"/>
      <c r="Z13" s="224"/>
      <c r="AA13" s="224"/>
      <c r="AB13" s="224"/>
      <c r="AC13" s="224"/>
      <c r="AD13" s="224"/>
      <c r="AE13" s="224"/>
      <c r="AF13" s="224"/>
      <c r="AG13" s="389">
        <v>54200</v>
      </c>
      <c r="AH13" s="224"/>
      <c r="AI13" s="224"/>
      <c r="AJ13" s="273"/>
      <c r="AK13" s="273">
        <f>'(D) Tuition Fee Revenue'!N14+'(E) Tuit Fee Discounts'!L13</f>
        <v>355800</v>
      </c>
      <c r="AL13" s="273"/>
      <c r="AM13" s="224"/>
      <c r="AN13" s="367">
        <f t="shared" si="1"/>
        <v>3607800</v>
      </c>
      <c r="AO13" s="224"/>
      <c r="AP13" s="384"/>
      <c r="AQ13" s="224">
        <f t="shared" si="2"/>
        <v>112212532</v>
      </c>
      <c r="AR13" s="385"/>
      <c r="AS13" s="224"/>
      <c r="AT13" s="390">
        <f t="shared" si="3"/>
        <v>-1275800</v>
      </c>
      <c r="AU13" s="391"/>
      <c r="AV13" s="392"/>
      <c r="AW13" s="393">
        <f t="shared" si="4"/>
        <v>110936732</v>
      </c>
      <c r="AX13" s="394"/>
      <c r="AZ13" s="130"/>
      <c r="BB13" s="383"/>
    </row>
    <row r="14" spans="1:54" s="350" customFormat="1" ht="13.2" customHeight="1">
      <c r="A14" s="228" t="s">
        <v>5</v>
      </c>
      <c r="B14" s="384"/>
      <c r="C14" s="224">
        <f>'(A) Budget Summary'!C15</f>
        <v>130064361</v>
      </c>
      <c r="D14" s="385"/>
      <c r="E14" s="227"/>
      <c r="F14" s="227">
        <v>1043100</v>
      </c>
      <c r="G14" s="386"/>
      <c r="H14" s="227"/>
      <c r="I14" s="387">
        <f t="shared" si="0"/>
        <v>131107461</v>
      </c>
      <c r="J14" s="388"/>
      <c r="K14" s="227"/>
      <c r="L14" s="228">
        <v>90200</v>
      </c>
      <c r="M14" s="228"/>
      <c r="N14" s="228"/>
      <c r="O14" s="228"/>
      <c r="P14" s="228">
        <v>2695000</v>
      </c>
      <c r="Q14" s="228"/>
      <c r="R14" s="228"/>
      <c r="S14" s="228"/>
      <c r="T14" s="228">
        <v>153700</v>
      </c>
      <c r="U14" s="228"/>
      <c r="V14" s="228"/>
      <c r="W14" s="227"/>
      <c r="X14" s="224">
        <f>458000</f>
        <v>458000</v>
      </c>
      <c r="Y14" s="224"/>
      <c r="Z14" s="224"/>
      <c r="AA14" s="224"/>
      <c r="AB14" s="224"/>
      <c r="AC14" s="224"/>
      <c r="AD14" s="224"/>
      <c r="AE14" s="224"/>
      <c r="AF14" s="224"/>
      <c r="AG14" s="389">
        <v>96900</v>
      </c>
      <c r="AH14" s="224"/>
      <c r="AI14" s="224"/>
      <c r="AJ14" s="273"/>
      <c r="AK14" s="273">
        <f>'(D) Tuition Fee Revenue'!N15+'(E) Tuit Fee Discounts'!L14</f>
        <v>776200</v>
      </c>
      <c r="AL14" s="273"/>
      <c r="AM14" s="224"/>
      <c r="AN14" s="367">
        <f t="shared" si="1"/>
        <v>5313100</v>
      </c>
      <c r="AO14" s="224"/>
      <c r="AP14" s="384"/>
      <c r="AQ14" s="224">
        <f t="shared" si="2"/>
        <v>135377461</v>
      </c>
      <c r="AR14" s="385"/>
      <c r="AS14" s="224"/>
      <c r="AT14" s="390">
        <f t="shared" si="3"/>
        <v>-1539100</v>
      </c>
      <c r="AU14" s="391"/>
      <c r="AV14" s="392"/>
      <c r="AW14" s="393">
        <f t="shared" si="4"/>
        <v>133838361</v>
      </c>
      <c r="AX14" s="394"/>
      <c r="AZ14" s="130"/>
      <c r="BB14" s="383"/>
    </row>
    <row r="15" spans="1:54" s="350" customFormat="1" ht="13.2" customHeight="1">
      <c r="A15" s="228" t="s">
        <v>6</v>
      </c>
      <c r="B15" s="384"/>
      <c r="C15" s="224">
        <f>'(A) Budget Summary'!C16</f>
        <v>60415210</v>
      </c>
      <c r="D15" s="385"/>
      <c r="E15" s="227"/>
      <c r="F15" s="227">
        <v>361100</v>
      </c>
      <c r="G15" s="386"/>
      <c r="H15" s="227"/>
      <c r="I15" s="387">
        <f t="shared" si="0"/>
        <v>60776310</v>
      </c>
      <c r="J15" s="388"/>
      <c r="K15" s="227"/>
      <c r="L15" s="228">
        <v>50100</v>
      </c>
      <c r="M15" s="228"/>
      <c r="N15" s="228"/>
      <c r="O15" s="228"/>
      <c r="P15" s="228">
        <v>960000</v>
      </c>
      <c r="Q15" s="228"/>
      <c r="R15" s="228"/>
      <c r="S15" s="228"/>
      <c r="T15" s="228">
        <v>62600</v>
      </c>
      <c r="U15" s="228"/>
      <c r="V15" s="228"/>
      <c r="W15" s="227"/>
      <c r="X15" s="224">
        <v>0</v>
      </c>
      <c r="Y15" s="224"/>
      <c r="Z15" s="224"/>
      <c r="AA15" s="224"/>
      <c r="AB15" s="224"/>
      <c r="AC15" s="224"/>
      <c r="AD15" s="224"/>
      <c r="AE15" s="224"/>
      <c r="AF15" s="224"/>
      <c r="AG15" s="389">
        <v>23700</v>
      </c>
      <c r="AH15" s="224"/>
      <c r="AI15" s="224"/>
      <c r="AJ15" s="273"/>
      <c r="AK15" s="273">
        <f>'(D) Tuition Fee Revenue'!N16+'(E) Tuit Fee Discounts'!L15</f>
        <v>-457400</v>
      </c>
      <c r="AL15" s="273"/>
      <c r="AM15" s="224"/>
      <c r="AN15" s="367">
        <f t="shared" si="1"/>
        <v>1000100</v>
      </c>
      <c r="AO15" s="224"/>
      <c r="AP15" s="384"/>
      <c r="AQ15" s="224">
        <f t="shared" si="2"/>
        <v>61415310</v>
      </c>
      <c r="AR15" s="385"/>
      <c r="AS15" s="224"/>
      <c r="AT15" s="390">
        <f t="shared" si="3"/>
        <v>-698200</v>
      </c>
      <c r="AU15" s="391"/>
      <c r="AV15" s="392"/>
      <c r="AW15" s="393">
        <f t="shared" si="4"/>
        <v>60717110</v>
      </c>
      <c r="AX15" s="394"/>
      <c r="AZ15" s="130"/>
      <c r="BB15" s="383"/>
    </row>
    <row r="16" spans="1:54" s="350" customFormat="1" ht="13.2" customHeight="1">
      <c r="A16" s="228" t="s">
        <v>7</v>
      </c>
      <c r="B16" s="384"/>
      <c r="C16" s="224">
        <f>'(A) Budget Summary'!C17</f>
        <v>141554836.16</v>
      </c>
      <c r="D16" s="385"/>
      <c r="E16" s="227"/>
      <c r="F16" s="227">
        <v>1128900</v>
      </c>
      <c r="G16" s="386"/>
      <c r="H16" s="227"/>
      <c r="I16" s="387">
        <f t="shared" si="0"/>
        <v>142683736.16</v>
      </c>
      <c r="J16" s="388"/>
      <c r="K16" s="227"/>
      <c r="L16" s="228">
        <v>53500</v>
      </c>
      <c r="M16" s="228"/>
      <c r="N16" s="228"/>
      <c r="O16" s="228"/>
      <c r="P16" s="228">
        <v>2903000</v>
      </c>
      <c r="Q16" s="228"/>
      <c r="R16" s="228"/>
      <c r="S16" s="228"/>
      <c r="T16" s="228">
        <v>164500</v>
      </c>
      <c r="U16" s="228"/>
      <c r="V16" s="228"/>
      <c r="W16" s="227"/>
      <c r="X16" s="224">
        <f>675000</f>
        <v>675000</v>
      </c>
      <c r="Y16" s="224"/>
      <c r="Z16" s="224"/>
      <c r="AA16" s="224"/>
      <c r="AB16" s="224"/>
      <c r="AC16" s="224"/>
      <c r="AD16" s="224"/>
      <c r="AE16" s="224"/>
      <c r="AF16" s="224"/>
      <c r="AG16" s="389">
        <v>96500</v>
      </c>
      <c r="AH16" s="224"/>
      <c r="AI16" s="224"/>
      <c r="AJ16" s="273"/>
      <c r="AK16" s="273">
        <f>'(D) Tuition Fee Revenue'!N17+'(E) Tuit Fee Discounts'!L16</f>
        <v>1195000</v>
      </c>
      <c r="AL16" s="273"/>
      <c r="AM16" s="224"/>
      <c r="AN16" s="367">
        <f t="shared" si="1"/>
        <v>6216400</v>
      </c>
      <c r="AO16" s="224"/>
      <c r="AP16" s="384"/>
      <c r="AQ16" s="224">
        <f t="shared" si="2"/>
        <v>147771236.16</v>
      </c>
      <c r="AR16" s="385"/>
      <c r="AS16" s="224"/>
      <c r="AT16" s="390">
        <f t="shared" si="3"/>
        <v>-1680000</v>
      </c>
      <c r="AU16" s="391"/>
      <c r="AV16" s="392"/>
      <c r="AW16" s="393">
        <f t="shared" si="4"/>
        <v>146091236.16</v>
      </c>
      <c r="AX16" s="394"/>
      <c r="AZ16" s="130"/>
      <c r="BB16" s="383"/>
    </row>
    <row r="17" spans="1:54" s="350" customFormat="1" ht="13.2" customHeight="1">
      <c r="A17" s="228" t="s">
        <v>8</v>
      </c>
      <c r="B17" s="384"/>
      <c r="C17" s="224">
        <f>'(A) Budget Summary'!C18</f>
        <v>103544039</v>
      </c>
      <c r="D17" s="385"/>
      <c r="E17" s="227"/>
      <c r="F17" s="227">
        <v>654400</v>
      </c>
      <c r="G17" s="386"/>
      <c r="H17" s="227"/>
      <c r="I17" s="387">
        <f t="shared" si="0"/>
        <v>104198439</v>
      </c>
      <c r="J17" s="388"/>
      <c r="K17" s="227"/>
      <c r="L17" s="228">
        <v>60100</v>
      </c>
      <c r="M17" s="228"/>
      <c r="N17" s="228"/>
      <c r="O17" s="228"/>
      <c r="P17" s="228">
        <v>1798000</v>
      </c>
      <c r="Q17" s="228"/>
      <c r="R17" s="228"/>
      <c r="S17" s="228"/>
      <c r="T17" s="228">
        <v>102200</v>
      </c>
      <c r="U17" s="228"/>
      <c r="V17" s="228"/>
      <c r="W17" s="227"/>
      <c r="X17" s="224">
        <f>322600</f>
        <v>322600</v>
      </c>
      <c r="Y17" s="224"/>
      <c r="Z17" s="224"/>
      <c r="AA17" s="224"/>
      <c r="AB17" s="224"/>
      <c r="AC17" s="224"/>
      <c r="AD17" s="224"/>
      <c r="AE17" s="224"/>
      <c r="AF17" s="224"/>
      <c r="AG17" s="389">
        <v>59900</v>
      </c>
      <c r="AH17" s="224"/>
      <c r="AI17" s="224"/>
      <c r="AJ17" s="273"/>
      <c r="AK17" s="273">
        <f>'(D) Tuition Fee Revenue'!N18+'(E) Tuit Fee Discounts'!L17</f>
        <v>349100</v>
      </c>
      <c r="AL17" s="273"/>
      <c r="AM17" s="224"/>
      <c r="AN17" s="367">
        <f t="shared" si="1"/>
        <v>3346300</v>
      </c>
      <c r="AO17" s="224"/>
      <c r="AP17" s="384"/>
      <c r="AQ17" s="224">
        <f t="shared" si="2"/>
        <v>106890339</v>
      </c>
      <c r="AR17" s="385"/>
      <c r="AS17" s="224"/>
      <c r="AT17" s="390">
        <f t="shared" si="3"/>
        <v>-1215300</v>
      </c>
      <c r="AU17" s="391"/>
      <c r="AV17" s="392"/>
      <c r="AW17" s="393">
        <f t="shared" si="4"/>
        <v>105675039</v>
      </c>
      <c r="AX17" s="394"/>
      <c r="AZ17" s="130"/>
      <c r="BB17" s="383"/>
    </row>
    <row r="18" spans="1:54" s="350" customFormat="1" ht="13.2" customHeight="1">
      <c r="A18" s="228" t="s">
        <v>9</v>
      </c>
      <c r="B18" s="384"/>
      <c r="C18" s="224">
        <f>'(A) Budget Summary'!C19</f>
        <v>23184576</v>
      </c>
      <c r="D18" s="385"/>
      <c r="E18" s="227"/>
      <c r="F18" s="227">
        <v>99000</v>
      </c>
      <c r="G18" s="386"/>
      <c r="H18" s="227"/>
      <c r="I18" s="387">
        <f t="shared" si="0"/>
        <v>23283576</v>
      </c>
      <c r="J18" s="388"/>
      <c r="K18" s="227"/>
      <c r="L18" s="228">
        <v>7900</v>
      </c>
      <c r="M18" s="228"/>
      <c r="N18" s="228"/>
      <c r="O18" s="228"/>
      <c r="P18" s="228">
        <v>244000</v>
      </c>
      <c r="Q18" s="228"/>
      <c r="R18" s="228"/>
      <c r="S18" s="228"/>
      <c r="T18" s="228">
        <v>26000</v>
      </c>
      <c r="U18" s="228"/>
      <c r="V18" s="228"/>
      <c r="W18" s="227"/>
      <c r="X18" s="224">
        <v>0</v>
      </c>
      <c r="Y18" s="224"/>
      <c r="Z18" s="224"/>
      <c r="AA18" s="224">
        <v>451000</v>
      </c>
      <c r="AB18" s="395"/>
      <c r="AC18" s="224"/>
      <c r="AD18" s="224"/>
      <c r="AE18" s="224"/>
      <c r="AF18" s="224"/>
      <c r="AG18" s="389">
        <v>4400</v>
      </c>
      <c r="AH18" s="224"/>
      <c r="AI18" s="224"/>
      <c r="AJ18" s="273"/>
      <c r="AK18" s="273">
        <f>'(D) Tuition Fee Revenue'!N19+'(E) Tuit Fee Discounts'!L18</f>
        <v>168800</v>
      </c>
      <c r="AL18" s="273"/>
      <c r="AM18" s="224"/>
      <c r="AN18" s="367">
        <f t="shared" si="1"/>
        <v>1001100</v>
      </c>
      <c r="AO18" s="224"/>
      <c r="AP18" s="384"/>
      <c r="AQ18" s="224">
        <f t="shared" si="2"/>
        <v>24185676</v>
      </c>
      <c r="AR18" s="385"/>
      <c r="AS18" s="224"/>
      <c r="AT18" s="390">
        <f t="shared" si="3"/>
        <v>-275000</v>
      </c>
      <c r="AU18" s="391"/>
      <c r="AV18" s="392"/>
      <c r="AW18" s="393">
        <f t="shared" si="4"/>
        <v>23910676</v>
      </c>
      <c r="AX18" s="394"/>
      <c r="AZ18" s="130"/>
      <c r="BB18" s="383"/>
    </row>
    <row r="19" spans="1:54" s="350" customFormat="1" ht="13.2" customHeight="1">
      <c r="A19" s="228" t="s">
        <v>10</v>
      </c>
      <c r="B19" s="384"/>
      <c r="C19" s="224">
        <f>'(A) Budget Summary'!C20</f>
        <v>52092783</v>
      </c>
      <c r="D19" s="385"/>
      <c r="E19" s="227"/>
      <c r="F19" s="227">
        <v>256200</v>
      </c>
      <c r="G19" s="386"/>
      <c r="H19" s="227"/>
      <c r="I19" s="387">
        <f t="shared" si="0"/>
        <v>52348983</v>
      </c>
      <c r="J19" s="388"/>
      <c r="K19" s="227"/>
      <c r="L19" s="228">
        <v>25900</v>
      </c>
      <c r="M19" s="228"/>
      <c r="N19" s="228"/>
      <c r="O19" s="228"/>
      <c r="P19" s="228">
        <v>672000</v>
      </c>
      <c r="Q19" s="228"/>
      <c r="R19" s="228"/>
      <c r="S19" s="228"/>
      <c r="T19" s="228">
        <v>49600</v>
      </c>
      <c r="U19" s="228"/>
      <c r="V19" s="228"/>
      <c r="W19" s="227"/>
      <c r="X19" s="224">
        <v>0</v>
      </c>
      <c r="Y19" s="224"/>
      <c r="Z19" s="224"/>
      <c r="AA19" s="224"/>
      <c r="AB19" s="224"/>
      <c r="AC19" s="224"/>
      <c r="AD19" s="224"/>
      <c r="AE19" s="224"/>
      <c r="AF19" s="224"/>
      <c r="AG19" s="389">
        <v>12500</v>
      </c>
      <c r="AH19" s="224"/>
      <c r="AI19" s="224"/>
      <c r="AJ19" s="273"/>
      <c r="AK19" s="273">
        <f>'(D) Tuition Fee Revenue'!N20+'(E) Tuit Fee Discounts'!L19</f>
        <v>753400</v>
      </c>
      <c r="AL19" s="273"/>
      <c r="AM19" s="224"/>
      <c r="AN19" s="367">
        <f t="shared" si="1"/>
        <v>1769600</v>
      </c>
      <c r="AO19" s="224"/>
      <c r="AP19" s="384"/>
      <c r="AQ19" s="224">
        <f t="shared" si="2"/>
        <v>53862383</v>
      </c>
      <c r="AR19" s="385"/>
      <c r="AS19" s="224"/>
      <c r="AT19" s="390">
        <f t="shared" si="3"/>
        <v>-612400</v>
      </c>
      <c r="AU19" s="391"/>
      <c r="AV19" s="392"/>
      <c r="AW19" s="393">
        <f t="shared" si="4"/>
        <v>53249983</v>
      </c>
      <c r="AX19" s="394"/>
      <c r="AZ19" s="130"/>
      <c r="BB19" s="383"/>
    </row>
    <row r="20" spans="1:54" s="350" customFormat="1" ht="13.2" customHeight="1">
      <c r="A20" s="228" t="s">
        <v>11</v>
      </c>
      <c r="B20" s="384"/>
      <c r="C20" s="224">
        <f>'(A) Budget Summary'!C21</f>
        <v>141659296</v>
      </c>
      <c r="D20" s="385"/>
      <c r="E20" s="227"/>
      <c r="F20" s="227">
        <v>1100000</v>
      </c>
      <c r="G20" s="386"/>
      <c r="H20" s="227"/>
      <c r="I20" s="387">
        <f t="shared" si="0"/>
        <v>142759296</v>
      </c>
      <c r="J20" s="388"/>
      <c r="K20" s="227"/>
      <c r="L20" s="228">
        <v>111400</v>
      </c>
      <c r="M20" s="228"/>
      <c r="N20" s="228"/>
      <c r="O20" s="228"/>
      <c r="P20" s="228">
        <v>2926000</v>
      </c>
      <c r="Q20" s="228"/>
      <c r="R20" s="228"/>
      <c r="S20" s="228"/>
      <c r="T20" s="228">
        <v>184000</v>
      </c>
      <c r="U20" s="228"/>
      <c r="V20" s="228"/>
      <c r="W20" s="227"/>
      <c r="X20" s="224">
        <f>165100</f>
        <v>165100</v>
      </c>
      <c r="Y20" s="224"/>
      <c r="Z20" s="224"/>
      <c r="AA20" s="224"/>
      <c r="AB20" s="224"/>
      <c r="AC20" s="224"/>
      <c r="AD20" s="224"/>
      <c r="AE20" s="224"/>
      <c r="AF20" s="224"/>
      <c r="AG20" s="389">
        <v>96600</v>
      </c>
      <c r="AH20" s="224"/>
      <c r="AI20" s="224"/>
      <c r="AJ20" s="273"/>
      <c r="AK20" s="273">
        <f>'(D) Tuition Fee Revenue'!N21+'(E) Tuit Fee Discounts'!L20</f>
        <v>-859400</v>
      </c>
      <c r="AL20" s="273"/>
      <c r="AM20" s="224"/>
      <c r="AN20" s="367">
        <f t="shared" si="1"/>
        <v>3723700</v>
      </c>
      <c r="AO20" s="224"/>
      <c r="AP20" s="384"/>
      <c r="AQ20" s="224">
        <f t="shared" si="2"/>
        <v>145382996</v>
      </c>
      <c r="AR20" s="385"/>
      <c r="AS20" s="224"/>
      <c r="AT20" s="390">
        <f t="shared" si="3"/>
        <v>-1652900</v>
      </c>
      <c r="AU20" s="391"/>
      <c r="AV20" s="392"/>
      <c r="AW20" s="393">
        <f t="shared" si="4"/>
        <v>143730096</v>
      </c>
      <c r="AX20" s="394"/>
      <c r="AZ20" s="130"/>
      <c r="BB20" s="383"/>
    </row>
    <row r="21" spans="1:54" s="350" customFormat="1" ht="13.2" customHeight="1">
      <c r="A21" s="228" t="s">
        <v>12</v>
      </c>
      <c r="B21" s="384"/>
      <c r="C21" s="224">
        <f>'(A) Budget Summary'!C22</f>
        <v>103516842</v>
      </c>
      <c r="D21" s="385"/>
      <c r="E21" s="227"/>
      <c r="F21" s="227">
        <v>702700</v>
      </c>
      <c r="G21" s="386"/>
      <c r="H21" s="227"/>
      <c r="I21" s="387">
        <f t="shared" si="0"/>
        <v>104219542</v>
      </c>
      <c r="J21" s="388"/>
      <c r="K21" s="227"/>
      <c r="L21" s="228">
        <v>72800</v>
      </c>
      <c r="M21" s="228"/>
      <c r="N21" s="228"/>
      <c r="O21" s="228"/>
      <c r="P21" s="228">
        <v>1923000</v>
      </c>
      <c r="Q21" s="228"/>
      <c r="R21" s="228"/>
      <c r="S21" s="228"/>
      <c r="T21" s="228">
        <v>82500</v>
      </c>
      <c r="U21" s="228"/>
      <c r="V21" s="228"/>
      <c r="W21" s="227"/>
      <c r="X21" s="224">
        <f>404000</f>
        <v>404000</v>
      </c>
      <c r="Y21" s="224"/>
      <c r="Z21" s="224"/>
      <c r="AA21" s="224"/>
      <c r="AB21" s="224"/>
      <c r="AC21" s="224"/>
      <c r="AD21" s="224"/>
      <c r="AE21" s="224"/>
      <c r="AF21" s="224"/>
      <c r="AG21" s="389">
        <v>56300</v>
      </c>
      <c r="AH21" s="224"/>
      <c r="AI21" s="224"/>
      <c r="AJ21" s="273"/>
      <c r="AK21" s="273">
        <f>'(D) Tuition Fee Revenue'!N22+'(E) Tuit Fee Discounts'!L21</f>
        <v>-280500</v>
      </c>
      <c r="AL21" s="273"/>
      <c r="AM21" s="224"/>
      <c r="AN21" s="367">
        <f t="shared" si="1"/>
        <v>2960800</v>
      </c>
      <c r="AO21" s="224"/>
      <c r="AP21" s="384"/>
      <c r="AQ21" s="224">
        <f t="shared" si="2"/>
        <v>106477642</v>
      </c>
      <c r="AR21" s="385"/>
      <c r="AS21" s="224"/>
      <c r="AT21" s="390">
        <f t="shared" si="3"/>
        <v>-1210600</v>
      </c>
      <c r="AU21" s="391"/>
      <c r="AV21" s="392"/>
      <c r="AW21" s="393">
        <f t="shared" si="4"/>
        <v>105267042</v>
      </c>
      <c r="AX21" s="394"/>
      <c r="AZ21" s="130"/>
      <c r="BB21" s="383"/>
    </row>
    <row r="22" spans="1:54" s="350" customFormat="1" ht="13.2" customHeight="1">
      <c r="A22" s="228" t="s">
        <v>13</v>
      </c>
      <c r="B22" s="384"/>
      <c r="C22" s="224">
        <f>'(A) Budget Summary'!C23</f>
        <v>116988137</v>
      </c>
      <c r="D22" s="385"/>
      <c r="E22" s="227"/>
      <c r="F22" s="227">
        <v>795000</v>
      </c>
      <c r="G22" s="386"/>
      <c r="H22" s="227"/>
      <c r="I22" s="387">
        <f t="shared" si="0"/>
        <v>117783137</v>
      </c>
      <c r="J22" s="388"/>
      <c r="K22" s="227"/>
      <c r="L22" s="228">
        <v>112200</v>
      </c>
      <c r="M22" s="228"/>
      <c r="N22" s="228"/>
      <c r="O22" s="228"/>
      <c r="P22" s="228">
        <v>2082000</v>
      </c>
      <c r="Q22" s="228"/>
      <c r="R22" s="228"/>
      <c r="S22" s="228"/>
      <c r="T22" s="228">
        <v>116400</v>
      </c>
      <c r="U22" s="228"/>
      <c r="V22" s="228"/>
      <c r="W22" s="227"/>
      <c r="X22" s="224">
        <f>496100</f>
        <v>496100</v>
      </c>
      <c r="Y22" s="224"/>
      <c r="Z22" s="224"/>
      <c r="AA22" s="224"/>
      <c r="AB22" s="224"/>
      <c r="AC22" s="224"/>
      <c r="AD22" s="224"/>
      <c r="AE22" s="224"/>
      <c r="AF22" s="224"/>
      <c r="AG22" s="389">
        <v>70900</v>
      </c>
      <c r="AH22" s="224"/>
      <c r="AI22" s="224"/>
      <c r="AJ22" s="273"/>
      <c r="AK22" s="273">
        <f>'(D) Tuition Fee Revenue'!N23+'(E) Tuit Fee Discounts'!L22</f>
        <v>44100</v>
      </c>
      <c r="AL22" s="273"/>
      <c r="AM22" s="224"/>
      <c r="AN22" s="367">
        <f t="shared" si="1"/>
        <v>3716700</v>
      </c>
      <c r="AO22" s="224"/>
      <c r="AP22" s="384"/>
      <c r="AQ22" s="224">
        <f t="shared" si="2"/>
        <v>120704837</v>
      </c>
      <c r="AR22" s="385"/>
      <c r="AS22" s="224"/>
      <c r="AT22" s="390">
        <f t="shared" si="3"/>
        <v>-1372300</v>
      </c>
      <c r="AU22" s="391"/>
      <c r="AV22" s="392"/>
      <c r="AW22" s="393">
        <f t="shared" si="4"/>
        <v>119332537</v>
      </c>
      <c r="AX22" s="394"/>
      <c r="AZ22" s="130"/>
      <c r="BB22" s="383"/>
    </row>
    <row r="23" spans="1:54" s="350" customFormat="1" ht="13.2" customHeight="1">
      <c r="A23" s="228" t="s">
        <v>14</v>
      </c>
      <c r="B23" s="384"/>
      <c r="C23" s="224">
        <f>'(A) Budget Summary'!C24</f>
        <v>78595208</v>
      </c>
      <c r="D23" s="385"/>
      <c r="E23" s="227"/>
      <c r="F23" s="227">
        <v>573000</v>
      </c>
      <c r="G23" s="386"/>
      <c r="H23" s="227"/>
      <c r="I23" s="387">
        <f t="shared" si="0"/>
        <v>79168208</v>
      </c>
      <c r="J23" s="388"/>
      <c r="K23" s="227"/>
      <c r="L23" s="228">
        <v>55300</v>
      </c>
      <c r="M23" s="228"/>
      <c r="N23" s="228"/>
      <c r="O23" s="228"/>
      <c r="P23" s="228">
        <v>1538000</v>
      </c>
      <c r="Q23" s="228"/>
      <c r="R23" s="228"/>
      <c r="S23" s="228"/>
      <c r="T23" s="228">
        <v>77200</v>
      </c>
      <c r="U23" s="228"/>
      <c r="V23" s="228"/>
      <c r="W23" s="227"/>
      <c r="X23" s="224">
        <f>490000</f>
        <v>490000</v>
      </c>
      <c r="Y23" s="224"/>
      <c r="Z23" s="224"/>
      <c r="AA23" s="224">
        <v>450000</v>
      </c>
      <c r="AB23" s="395"/>
      <c r="AC23" s="224"/>
      <c r="AD23" s="224"/>
      <c r="AE23" s="224"/>
      <c r="AF23" s="224"/>
      <c r="AG23" s="389">
        <v>51300</v>
      </c>
      <c r="AH23" s="224"/>
      <c r="AI23" s="224"/>
      <c r="AJ23" s="273"/>
      <c r="AK23" s="273">
        <f>'(D) Tuition Fee Revenue'!N24+'(E) Tuit Fee Discounts'!L23</f>
        <v>-547700</v>
      </c>
      <c r="AL23" s="273"/>
      <c r="AM23" s="224"/>
      <c r="AN23" s="367">
        <f t="shared" si="1"/>
        <v>2687100</v>
      </c>
      <c r="AO23" s="224"/>
      <c r="AP23" s="384"/>
      <c r="AQ23" s="224">
        <f t="shared" si="2"/>
        <v>81282308</v>
      </c>
      <c r="AR23" s="385"/>
      <c r="AS23" s="224"/>
      <c r="AT23" s="390">
        <f t="shared" si="3"/>
        <v>-924100</v>
      </c>
      <c r="AU23" s="391"/>
      <c r="AV23" s="392"/>
      <c r="AW23" s="393">
        <f t="shared" si="4"/>
        <v>80358208</v>
      </c>
      <c r="AX23" s="394"/>
      <c r="AZ23" s="130"/>
      <c r="BB23" s="383"/>
    </row>
    <row r="24" spans="1:54" s="350" customFormat="1" ht="13.2" customHeight="1">
      <c r="A24" s="228" t="s">
        <v>15</v>
      </c>
      <c r="B24" s="384"/>
      <c r="C24" s="224">
        <f>'(A) Budget Summary'!C25</f>
        <v>143411096</v>
      </c>
      <c r="D24" s="385"/>
      <c r="E24" s="227"/>
      <c r="F24" s="227">
        <v>1085500</v>
      </c>
      <c r="G24" s="386"/>
      <c r="H24" s="227"/>
      <c r="I24" s="387">
        <f t="shared" si="0"/>
        <v>144496596</v>
      </c>
      <c r="J24" s="388"/>
      <c r="K24" s="227"/>
      <c r="L24" s="228">
        <v>87100</v>
      </c>
      <c r="M24" s="228"/>
      <c r="N24" s="228"/>
      <c r="O24" s="228"/>
      <c r="P24" s="228">
        <v>2796000</v>
      </c>
      <c r="Q24" s="228"/>
      <c r="R24" s="228"/>
      <c r="S24" s="228"/>
      <c r="T24" s="228">
        <v>163900</v>
      </c>
      <c r="U24" s="228"/>
      <c r="V24" s="228"/>
      <c r="W24" s="227"/>
      <c r="X24" s="224">
        <f>290300</f>
        <v>290300</v>
      </c>
      <c r="Y24" s="224"/>
      <c r="Z24" s="224"/>
      <c r="AA24" s="224"/>
      <c r="AB24" s="224"/>
      <c r="AC24" s="224"/>
      <c r="AD24" s="224"/>
      <c r="AE24" s="224"/>
      <c r="AF24" s="224"/>
      <c r="AG24" s="389">
        <v>92600</v>
      </c>
      <c r="AH24" s="224"/>
      <c r="AI24" s="224"/>
      <c r="AJ24" s="273"/>
      <c r="AK24" s="273">
        <f>'(D) Tuition Fee Revenue'!N25+'(E) Tuit Fee Discounts'!L24</f>
        <v>-1106100</v>
      </c>
      <c r="AL24" s="273"/>
      <c r="AM24" s="224"/>
      <c r="AN24" s="367">
        <f t="shared" si="1"/>
        <v>3409300</v>
      </c>
      <c r="AO24" s="224"/>
      <c r="AP24" s="384"/>
      <c r="AQ24" s="224">
        <f t="shared" si="2"/>
        <v>146820396</v>
      </c>
      <c r="AR24" s="385"/>
      <c r="AS24" s="224"/>
      <c r="AT24" s="390">
        <f t="shared" si="3"/>
        <v>-1669200</v>
      </c>
      <c r="AU24" s="391"/>
      <c r="AV24" s="392"/>
      <c r="AW24" s="393">
        <f t="shared" si="4"/>
        <v>145151196</v>
      </c>
      <c r="AX24" s="394"/>
      <c r="AZ24" s="130"/>
      <c r="BB24" s="383"/>
    </row>
    <row r="25" spans="1:54" s="350" customFormat="1" ht="13.2" customHeight="1">
      <c r="A25" s="228" t="s">
        <v>16</v>
      </c>
      <c r="B25" s="384"/>
      <c r="C25" s="224">
        <f>'(A) Budget Summary'!C26</f>
        <v>120275359</v>
      </c>
      <c r="D25" s="385"/>
      <c r="E25" s="227"/>
      <c r="F25" s="227">
        <v>1001300</v>
      </c>
      <c r="G25" s="386"/>
      <c r="H25" s="227"/>
      <c r="I25" s="387">
        <f t="shared" si="0"/>
        <v>121276659</v>
      </c>
      <c r="J25" s="388"/>
      <c r="K25" s="227"/>
      <c r="L25" s="228">
        <v>34500</v>
      </c>
      <c r="M25" s="228"/>
      <c r="N25" s="228"/>
      <c r="O25" s="228"/>
      <c r="P25" s="228">
        <v>2613000</v>
      </c>
      <c r="Q25" s="228"/>
      <c r="R25" s="228"/>
      <c r="S25" s="228"/>
      <c r="T25" s="228">
        <v>117200</v>
      </c>
      <c r="U25" s="228"/>
      <c r="V25" s="228"/>
      <c r="W25" s="227"/>
      <c r="X25" s="224">
        <f>675000</f>
        <v>675000</v>
      </c>
      <c r="Y25" s="224"/>
      <c r="Z25" s="224"/>
      <c r="AA25" s="224"/>
      <c r="AB25" s="224"/>
      <c r="AC25" s="224"/>
      <c r="AD25" s="224"/>
      <c r="AE25" s="224"/>
      <c r="AF25" s="224"/>
      <c r="AG25" s="389">
        <v>82600</v>
      </c>
      <c r="AH25" s="224"/>
      <c r="AI25" s="224"/>
      <c r="AJ25" s="273"/>
      <c r="AK25" s="273">
        <f>'(D) Tuition Fee Revenue'!N26+'(E) Tuit Fee Discounts'!L25</f>
        <v>-178500</v>
      </c>
      <c r="AL25" s="273"/>
      <c r="AM25" s="224"/>
      <c r="AN25" s="367">
        <f t="shared" si="1"/>
        <v>4345100</v>
      </c>
      <c r="AO25" s="224"/>
      <c r="AP25" s="384"/>
      <c r="AQ25" s="224">
        <f t="shared" si="2"/>
        <v>124620459</v>
      </c>
      <c r="AR25" s="385"/>
      <c r="AS25" s="224"/>
      <c r="AT25" s="390">
        <f t="shared" si="3"/>
        <v>-1416800</v>
      </c>
      <c r="AU25" s="391"/>
      <c r="AV25" s="392"/>
      <c r="AW25" s="393">
        <f t="shared" si="4"/>
        <v>123203659</v>
      </c>
      <c r="AX25" s="394"/>
      <c r="AZ25" s="130"/>
      <c r="BB25" s="383"/>
    </row>
    <row r="26" spans="1:54" s="350" customFormat="1" ht="13.2" customHeight="1">
      <c r="A26" s="228" t="s">
        <v>17</v>
      </c>
      <c r="B26" s="384"/>
      <c r="C26" s="224">
        <f>'(A) Budget Summary'!C27</f>
        <v>111094782</v>
      </c>
      <c r="D26" s="385"/>
      <c r="E26" s="227"/>
      <c r="F26" s="227">
        <v>921200</v>
      </c>
      <c r="G26" s="386"/>
      <c r="H26" s="227"/>
      <c r="I26" s="387">
        <f t="shared" si="0"/>
        <v>112015982</v>
      </c>
      <c r="J26" s="388"/>
      <c r="K26" s="227"/>
      <c r="L26" s="228">
        <v>72700</v>
      </c>
      <c r="M26" s="228"/>
      <c r="N26" s="228"/>
      <c r="O26" s="228"/>
      <c r="P26" s="228">
        <v>2500000</v>
      </c>
      <c r="Q26" s="228"/>
      <c r="R26" s="228"/>
      <c r="S26" s="228"/>
      <c r="T26" s="228">
        <v>130900</v>
      </c>
      <c r="U26" s="228"/>
      <c r="V26" s="228"/>
      <c r="W26" s="227"/>
      <c r="X26" s="224">
        <f>350000</f>
        <v>350000</v>
      </c>
      <c r="Y26" s="224"/>
      <c r="Z26" s="224"/>
      <c r="AA26" s="224"/>
      <c r="AB26" s="224"/>
      <c r="AC26" s="224"/>
      <c r="AD26" s="224"/>
      <c r="AE26" s="224"/>
      <c r="AF26" s="224"/>
      <c r="AG26" s="389">
        <v>84500</v>
      </c>
      <c r="AH26" s="224"/>
      <c r="AI26" s="224"/>
      <c r="AJ26" s="273"/>
      <c r="AK26" s="273">
        <f>'(D) Tuition Fee Revenue'!N27+'(E) Tuit Fee Discounts'!L26</f>
        <v>1543500</v>
      </c>
      <c r="AL26" s="273"/>
      <c r="AM26" s="224"/>
      <c r="AN26" s="367">
        <f t="shared" si="1"/>
        <v>5602800</v>
      </c>
      <c r="AO26" s="224"/>
      <c r="AP26" s="384"/>
      <c r="AQ26" s="224">
        <f t="shared" si="2"/>
        <v>116697582</v>
      </c>
      <c r="AR26" s="385"/>
      <c r="AS26" s="224"/>
      <c r="AT26" s="390">
        <f>-ROUND(((AQ26/($AQ$32+$AQ$34))*24535000)/100,0)*100+100</f>
        <v>-1326700</v>
      </c>
      <c r="AU26" s="391"/>
      <c r="AV26" s="392"/>
      <c r="AW26" s="393">
        <f t="shared" si="4"/>
        <v>115370882</v>
      </c>
      <c r="AX26" s="394"/>
      <c r="AZ26" s="130"/>
      <c r="BB26" s="383"/>
    </row>
    <row r="27" spans="1:54" s="350" customFormat="1" ht="13.2" customHeight="1">
      <c r="A27" s="228" t="s">
        <v>18</v>
      </c>
      <c r="B27" s="384"/>
      <c r="C27" s="224">
        <f>'(A) Budget Summary'!C28</f>
        <v>95997068</v>
      </c>
      <c r="D27" s="385"/>
      <c r="E27" s="227"/>
      <c r="F27" s="227">
        <v>862800</v>
      </c>
      <c r="G27" s="386"/>
      <c r="H27" s="227"/>
      <c r="I27" s="387">
        <f t="shared" si="0"/>
        <v>96859868</v>
      </c>
      <c r="J27" s="388"/>
      <c r="K27" s="227"/>
      <c r="L27" s="228">
        <v>80100</v>
      </c>
      <c r="M27" s="228"/>
      <c r="N27" s="228"/>
      <c r="O27" s="228"/>
      <c r="P27" s="228">
        <v>2107000</v>
      </c>
      <c r="Q27" s="228"/>
      <c r="R27" s="228"/>
      <c r="S27" s="228"/>
      <c r="T27" s="228">
        <v>131900</v>
      </c>
      <c r="U27" s="228"/>
      <c r="V27" s="228"/>
      <c r="W27" s="227"/>
      <c r="X27" s="224">
        <f>675000</f>
        <v>675000</v>
      </c>
      <c r="Y27" s="224"/>
      <c r="Z27" s="224"/>
      <c r="AA27" s="224"/>
      <c r="AB27" s="224"/>
      <c r="AC27" s="224"/>
      <c r="AD27" s="224"/>
      <c r="AE27" s="224"/>
      <c r="AF27" s="224"/>
      <c r="AG27" s="389">
        <v>70500</v>
      </c>
      <c r="AH27" s="224"/>
      <c r="AI27" s="224"/>
      <c r="AJ27" s="273"/>
      <c r="AK27" s="273">
        <f>'(D) Tuition Fee Revenue'!N28+'(E) Tuit Fee Discounts'!L27</f>
        <v>-977600</v>
      </c>
      <c r="AL27" s="273"/>
      <c r="AM27" s="224"/>
      <c r="AN27" s="367">
        <f t="shared" si="1"/>
        <v>2949700</v>
      </c>
      <c r="AO27" s="224"/>
      <c r="AP27" s="384"/>
      <c r="AQ27" s="224">
        <f t="shared" si="2"/>
        <v>98946768</v>
      </c>
      <c r="AR27" s="385"/>
      <c r="AS27" s="224"/>
      <c r="AT27" s="390">
        <f t="shared" si="3"/>
        <v>-1124900</v>
      </c>
      <c r="AU27" s="391"/>
      <c r="AV27" s="392"/>
      <c r="AW27" s="393">
        <f t="shared" si="4"/>
        <v>97821868</v>
      </c>
      <c r="AX27" s="394"/>
      <c r="AZ27" s="130"/>
      <c r="BB27" s="383"/>
    </row>
    <row r="28" spans="1:54" s="350" customFormat="1" ht="13.2" customHeight="1">
      <c r="A28" s="228" t="s">
        <v>19</v>
      </c>
      <c r="B28" s="384"/>
      <c r="C28" s="224">
        <f>'(A) Budget Summary'!C29</f>
        <v>55597552</v>
      </c>
      <c r="D28" s="385"/>
      <c r="E28" s="227"/>
      <c r="F28" s="227">
        <v>390100</v>
      </c>
      <c r="G28" s="386"/>
      <c r="H28" s="227"/>
      <c r="I28" s="387">
        <f t="shared" si="0"/>
        <v>55987652</v>
      </c>
      <c r="J28" s="388"/>
      <c r="K28" s="227"/>
      <c r="L28" s="228">
        <v>37700</v>
      </c>
      <c r="M28" s="228"/>
      <c r="N28" s="228"/>
      <c r="O28" s="228"/>
      <c r="P28" s="228">
        <v>992000</v>
      </c>
      <c r="Q28" s="228"/>
      <c r="R28" s="228"/>
      <c r="S28" s="228"/>
      <c r="T28" s="228">
        <v>43400</v>
      </c>
      <c r="U28" s="228"/>
      <c r="V28" s="228"/>
      <c r="W28" s="227"/>
      <c r="X28" s="224">
        <v>0</v>
      </c>
      <c r="Y28" s="224"/>
      <c r="Z28" s="224"/>
      <c r="AA28" s="224"/>
      <c r="AB28" s="224"/>
      <c r="AC28" s="224"/>
      <c r="AD28" s="224"/>
      <c r="AE28" s="224"/>
      <c r="AF28" s="224"/>
      <c r="AG28" s="389">
        <v>27400</v>
      </c>
      <c r="AH28" s="224"/>
      <c r="AI28" s="224"/>
      <c r="AJ28" s="273"/>
      <c r="AK28" s="273">
        <f>'(D) Tuition Fee Revenue'!N29+'(E) Tuit Fee Discounts'!L28</f>
        <v>318000</v>
      </c>
      <c r="AL28" s="273"/>
      <c r="AM28" s="224"/>
      <c r="AN28" s="367">
        <f t="shared" si="1"/>
        <v>1808600</v>
      </c>
      <c r="AO28" s="224"/>
      <c r="AP28" s="384"/>
      <c r="AQ28" s="224">
        <f t="shared" si="2"/>
        <v>57406152</v>
      </c>
      <c r="AR28" s="385"/>
      <c r="AS28" s="224"/>
      <c r="AT28" s="390">
        <f t="shared" si="3"/>
        <v>-652700</v>
      </c>
      <c r="AU28" s="391"/>
      <c r="AV28" s="392"/>
      <c r="AW28" s="393">
        <f t="shared" si="4"/>
        <v>56753452</v>
      </c>
      <c r="AX28" s="394"/>
      <c r="AZ28" s="130"/>
      <c r="BB28" s="383"/>
    </row>
    <row r="29" spans="1:54" s="350" customFormat="1" ht="13.2" customHeight="1">
      <c r="A29" s="228" t="s">
        <v>20</v>
      </c>
      <c r="B29" s="384"/>
      <c r="C29" s="224">
        <f>'(A) Budget Summary'!C30</f>
        <v>49467083</v>
      </c>
      <c r="D29" s="385"/>
      <c r="E29" s="227"/>
      <c r="F29" s="227">
        <v>331700</v>
      </c>
      <c r="G29" s="386"/>
      <c r="H29" s="227"/>
      <c r="I29" s="387">
        <f t="shared" si="0"/>
        <v>49798783</v>
      </c>
      <c r="J29" s="388"/>
      <c r="K29" s="227"/>
      <c r="L29" s="228">
        <v>44700</v>
      </c>
      <c r="M29" s="228"/>
      <c r="N29" s="228"/>
      <c r="O29" s="228"/>
      <c r="P29" s="228">
        <v>842000</v>
      </c>
      <c r="Q29" s="228"/>
      <c r="R29" s="228"/>
      <c r="S29" s="228"/>
      <c r="T29" s="228">
        <v>46200</v>
      </c>
      <c r="U29" s="228"/>
      <c r="V29" s="228"/>
      <c r="W29" s="227"/>
      <c r="X29" s="224">
        <f>527200</f>
        <v>527200</v>
      </c>
      <c r="Y29" s="224"/>
      <c r="Z29" s="224"/>
      <c r="AA29" s="224"/>
      <c r="AB29" s="224"/>
      <c r="AC29" s="224"/>
      <c r="AD29" s="224"/>
      <c r="AE29" s="224"/>
      <c r="AF29" s="224"/>
      <c r="AG29" s="389">
        <v>22900</v>
      </c>
      <c r="AH29" s="224"/>
      <c r="AI29" s="224"/>
      <c r="AJ29" s="273"/>
      <c r="AK29" s="273">
        <f>'(D) Tuition Fee Revenue'!N30+'(E) Tuit Fee Discounts'!L29</f>
        <v>-636600</v>
      </c>
      <c r="AL29" s="273"/>
      <c r="AM29" s="224"/>
      <c r="AN29" s="367">
        <f t="shared" si="1"/>
        <v>1178100</v>
      </c>
      <c r="AO29" s="224"/>
      <c r="AP29" s="384"/>
      <c r="AQ29" s="224">
        <f t="shared" si="2"/>
        <v>50645183</v>
      </c>
      <c r="AR29" s="385"/>
      <c r="AS29" s="224"/>
      <c r="AT29" s="390">
        <f t="shared" si="3"/>
        <v>-575800</v>
      </c>
      <c r="AU29" s="391"/>
      <c r="AV29" s="392"/>
      <c r="AW29" s="393">
        <f t="shared" si="4"/>
        <v>50069383</v>
      </c>
      <c r="AX29" s="394"/>
      <c r="AZ29" s="130"/>
      <c r="BB29" s="383"/>
    </row>
    <row r="30" spans="1:54" s="350" customFormat="1" ht="13.2" customHeight="1">
      <c r="A30" s="228" t="s">
        <v>21</v>
      </c>
      <c r="B30" s="384"/>
      <c r="C30" s="224">
        <f>'(A) Budget Summary'!C31</f>
        <v>49835547</v>
      </c>
      <c r="D30" s="385"/>
      <c r="E30" s="227"/>
      <c r="F30" s="227">
        <v>290400</v>
      </c>
      <c r="G30" s="386"/>
      <c r="H30" s="227"/>
      <c r="I30" s="387">
        <f t="shared" si="0"/>
        <v>50125947</v>
      </c>
      <c r="J30" s="388"/>
      <c r="K30" s="227"/>
      <c r="L30" s="228">
        <v>41700</v>
      </c>
      <c r="M30" s="228"/>
      <c r="N30" s="228"/>
      <c r="O30" s="228"/>
      <c r="P30" s="228">
        <v>740000</v>
      </c>
      <c r="Q30" s="228"/>
      <c r="R30" s="228"/>
      <c r="S30" s="228"/>
      <c r="T30" s="228">
        <v>53100</v>
      </c>
      <c r="U30" s="228"/>
      <c r="V30" s="228"/>
      <c r="W30" s="227"/>
      <c r="X30" s="224">
        <v>0</v>
      </c>
      <c r="Y30" s="224"/>
      <c r="Z30" s="224"/>
      <c r="AA30" s="224"/>
      <c r="AB30" s="224"/>
      <c r="AC30" s="224"/>
      <c r="AD30" s="224"/>
      <c r="AE30" s="224"/>
      <c r="AF30" s="224"/>
      <c r="AG30" s="389">
        <v>22100</v>
      </c>
      <c r="AH30" s="224"/>
      <c r="AI30" s="224"/>
      <c r="AJ30" s="273"/>
      <c r="AK30" s="273">
        <f>'(D) Tuition Fee Revenue'!N31+'(E) Tuit Fee Discounts'!L30</f>
        <v>-647900</v>
      </c>
      <c r="AL30" s="273"/>
      <c r="AM30" s="224"/>
      <c r="AN30" s="367">
        <f t="shared" si="1"/>
        <v>499400</v>
      </c>
      <c r="AO30" s="224"/>
      <c r="AP30" s="384"/>
      <c r="AQ30" s="224">
        <f t="shared" si="2"/>
        <v>50334947</v>
      </c>
      <c r="AR30" s="385"/>
      <c r="AS30" s="224"/>
      <c r="AT30" s="390">
        <f t="shared" si="3"/>
        <v>-572300</v>
      </c>
      <c r="AU30" s="391"/>
      <c r="AV30" s="392"/>
      <c r="AW30" s="393">
        <f t="shared" si="4"/>
        <v>49762647</v>
      </c>
      <c r="AX30" s="394"/>
      <c r="AZ30" s="130"/>
      <c r="BB30" s="383"/>
    </row>
    <row r="31" spans="1:54" s="350" customFormat="1" ht="6" customHeight="1">
      <c r="A31" s="228"/>
      <c r="B31" s="384"/>
      <c r="C31" s="224"/>
      <c r="D31" s="385"/>
      <c r="E31" s="228"/>
      <c r="F31" s="228"/>
      <c r="G31" s="228"/>
      <c r="H31" s="228"/>
      <c r="I31" s="367"/>
      <c r="J31" s="224"/>
      <c r="K31" s="228"/>
      <c r="L31" s="223"/>
      <c r="M31" s="223"/>
      <c r="N31" s="223"/>
      <c r="O31" s="223"/>
      <c r="P31" s="223"/>
      <c r="Q31" s="223"/>
      <c r="R31" s="223"/>
      <c r="S31" s="223"/>
      <c r="T31" s="223"/>
      <c r="U31" s="223"/>
      <c r="V31" s="223"/>
      <c r="W31" s="228"/>
      <c r="X31" s="224"/>
      <c r="Y31" s="224"/>
      <c r="Z31" s="224"/>
      <c r="AA31" s="224"/>
      <c r="AB31" s="224"/>
      <c r="AC31" s="224"/>
      <c r="AD31" s="224"/>
      <c r="AE31" s="224"/>
      <c r="AF31" s="224"/>
      <c r="AG31" s="224"/>
      <c r="AH31" s="224"/>
      <c r="AI31" s="224"/>
      <c r="AJ31" s="274"/>
      <c r="AK31" s="274"/>
      <c r="AL31" s="275"/>
      <c r="AM31" s="224"/>
      <c r="AN31" s="367"/>
      <c r="AO31" s="224"/>
      <c r="AP31" s="384"/>
      <c r="AQ31" s="224"/>
      <c r="AR31" s="385"/>
      <c r="AS31" s="224"/>
      <c r="AT31" s="405"/>
      <c r="AU31" s="130"/>
      <c r="AV31" s="365"/>
      <c r="AW31" s="130"/>
      <c r="AX31" s="394"/>
      <c r="AZ31" s="130"/>
      <c r="BB31" s="383"/>
    </row>
    <row r="32" spans="1:54" s="383" customFormat="1" ht="13.8">
      <c r="A32" s="229" t="s">
        <v>22</v>
      </c>
      <c r="B32" s="396"/>
      <c r="C32" s="229">
        <f>SUM(C8:C30)</f>
        <v>2000720571.1599998</v>
      </c>
      <c r="D32" s="397"/>
      <c r="E32" s="229"/>
      <c r="F32" s="229">
        <f>SUM(F8:F31)</f>
        <v>14310500</v>
      </c>
      <c r="G32" s="229"/>
      <c r="H32" s="229"/>
      <c r="I32" s="398">
        <f>SUM(I8:I31)</f>
        <v>2015031071.1599998</v>
      </c>
      <c r="J32" s="229"/>
      <c r="K32" s="229"/>
      <c r="L32" s="121">
        <f>SUM(L8:L31)</f>
        <v>1298500</v>
      </c>
      <c r="M32" s="121"/>
      <c r="N32" s="121"/>
      <c r="O32" s="121"/>
      <c r="P32" s="121">
        <f>SUM(P8:P31)</f>
        <v>37311000</v>
      </c>
      <c r="Q32" s="121"/>
      <c r="R32" s="121"/>
      <c r="S32" s="121"/>
      <c r="T32" s="121">
        <f>SUM(T8:T31)</f>
        <v>2149400</v>
      </c>
      <c r="U32" s="121"/>
      <c r="V32" s="121"/>
      <c r="W32" s="229"/>
      <c r="X32" s="229">
        <f>SUM(X8:X30)</f>
        <v>7084200</v>
      </c>
      <c r="Y32" s="229"/>
      <c r="Z32" s="229"/>
      <c r="AA32" s="229">
        <f>SUM(AA8:AA30)</f>
        <v>5755000</v>
      </c>
      <c r="AB32" s="163"/>
      <c r="AC32" s="229"/>
      <c r="AD32" s="229">
        <f>SUM(AD8:AD30)</f>
        <v>0</v>
      </c>
      <c r="AE32" s="229"/>
      <c r="AF32" s="229"/>
      <c r="AG32" s="229">
        <f t="shared" ref="AG32" si="5">SUM(AG8:AG30)</f>
        <v>1179000</v>
      </c>
      <c r="AH32" s="229"/>
      <c r="AI32" s="229"/>
      <c r="AJ32" s="276"/>
      <c r="AK32" s="277">
        <f>SUM(AK8:AK31)</f>
        <v>0</v>
      </c>
      <c r="AL32" s="274"/>
      <c r="AM32" s="229"/>
      <c r="AN32" s="398">
        <f>SUM(AN8:AN31)</f>
        <v>69087600</v>
      </c>
      <c r="AO32" s="229"/>
      <c r="AP32" s="396"/>
      <c r="AQ32" s="229">
        <f>SUM(AQ8:AQ31)</f>
        <v>2069808171.1599998</v>
      </c>
      <c r="AR32" s="397"/>
      <c r="AS32" s="226"/>
      <c r="AT32" s="399">
        <f>SUM(AT8:AT31)</f>
        <v>-23532000</v>
      </c>
      <c r="AU32" s="159"/>
      <c r="AV32" s="400"/>
      <c r="AW32" s="163">
        <f>SUM(AW8:AW30)</f>
        <v>2046276171.1599998</v>
      </c>
      <c r="AX32" s="401"/>
      <c r="AZ32" s="159"/>
    </row>
    <row r="33" spans="1:54" s="350" customFormat="1" ht="6" customHeight="1">
      <c r="A33" s="228"/>
      <c r="B33" s="384"/>
      <c r="C33" s="224"/>
      <c r="D33" s="385"/>
      <c r="E33" s="228"/>
      <c r="F33" s="228"/>
      <c r="G33" s="228"/>
      <c r="H33" s="228"/>
      <c r="I33" s="367"/>
      <c r="J33" s="224"/>
      <c r="K33" s="228"/>
      <c r="L33" s="223"/>
      <c r="M33" s="223"/>
      <c r="N33" s="223"/>
      <c r="O33" s="223"/>
      <c r="P33" s="223"/>
      <c r="Q33" s="223"/>
      <c r="R33" s="223"/>
      <c r="S33" s="223"/>
      <c r="T33" s="223"/>
      <c r="U33" s="223"/>
      <c r="V33" s="223"/>
      <c r="W33" s="228"/>
      <c r="X33" s="224"/>
      <c r="Y33" s="224"/>
      <c r="Z33" s="224"/>
      <c r="AA33" s="224"/>
      <c r="AB33" s="224"/>
      <c r="AC33" s="224"/>
      <c r="AD33" s="224"/>
      <c r="AE33" s="224"/>
      <c r="AF33" s="224"/>
      <c r="AG33" s="224"/>
      <c r="AH33" s="224"/>
      <c r="AI33" s="224"/>
      <c r="AJ33" s="273"/>
      <c r="AK33" s="273"/>
      <c r="AL33" s="278"/>
      <c r="AM33" s="224"/>
      <c r="AN33" s="367"/>
      <c r="AO33" s="224"/>
      <c r="AP33" s="384"/>
      <c r="AQ33" s="224"/>
      <c r="AR33" s="385"/>
      <c r="AS33" s="224"/>
      <c r="AT33" s="371"/>
      <c r="AU33" s="130"/>
      <c r="AV33" s="365"/>
      <c r="AW33" s="130"/>
      <c r="AX33" s="394"/>
      <c r="AZ33" s="130"/>
      <c r="BB33" s="383"/>
    </row>
    <row r="34" spans="1:54" s="350" customFormat="1" ht="13.2" customHeight="1">
      <c r="A34" s="228" t="s">
        <v>23</v>
      </c>
      <c r="B34" s="384"/>
      <c r="C34" s="224">
        <f>'(A) Budget Summary'!C35</f>
        <v>74562862</v>
      </c>
      <c r="D34" s="385"/>
      <c r="E34" s="227"/>
      <c r="F34" s="230">
        <v>294100</v>
      </c>
      <c r="G34" s="402"/>
      <c r="H34" s="227"/>
      <c r="I34" s="387">
        <f t="shared" ref="I34:I39" si="6">C34+F34</f>
        <v>74856962</v>
      </c>
      <c r="J34" s="388"/>
      <c r="K34" s="227"/>
      <c r="L34" s="224">
        <v>0</v>
      </c>
      <c r="M34" s="223"/>
      <c r="N34" s="223"/>
      <c r="O34" s="223"/>
      <c r="P34" s="223">
        <v>689000</v>
      </c>
      <c r="Q34" s="223"/>
      <c r="R34" s="223"/>
      <c r="S34" s="223"/>
      <c r="T34" s="224">
        <v>0</v>
      </c>
      <c r="U34" s="223"/>
      <c r="V34" s="223"/>
      <c r="W34" s="227"/>
      <c r="X34" s="224">
        <f>10000000+115800</f>
        <v>10115800</v>
      </c>
      <c r="Y34" s="224"/>
      <c r="Z34" s="224"/>
      <c r="AA34" s="224"/>
      <c r="AB34" s="224"/>
      <c r="AC34" s="224"/>
      <c r="AD34" s="224">
        <f>58162+12000+1000000+339412+308205+129082+179011+6706+100000+210584+215375</f>
        <v>2558537</v>
      </c>
      <c r="AE34" s="224"/>
      <c r="AF34" s="224"/>
      <c r="AG34" s="224">
        <v>0</v>
      </c>
      <c r="AH34" s="224"/>
      <c r="AI34" s="224"/>
      <c r="AJ34" s="273"/>
      <c r="AK34" s="273">
        <f>'(D) Tuition Fee Revenue'!N35+'(E) Tuit Fee Discounts'!L34</f>
        <v>0</v>
      </c>
      <c r="AL34" s="273"/>
      <c r="AM34" s="224"/>
      <c r="AN34" s="367">
        <f>SUM(L34:AK34)+F34</f>
        <v>13657437</v>
      </c>
      <c r="AO34" s="224"/>
      <c r="AP34" s="384"/>
      <c r="AQ34" s="224">
        <f t="shared" ref="AQ34:AQ39" si="7">C34+AN34</f>
        <v>88220299</v>
      </c>
      <c r="AR34" s="385"/>
      <c r="AS34" s="224"/>
      <c r="AT34" s="390">
        <f t="shared" ref="AT34" si="8">-ROUND(((AQ34/($AQ$32+$AQ$34))*24535000)/100,0)*100</f>
        <v>-1003000</v>
      </c>
      <c r="AU34" s="391"/>
      <c r="AV34" s="365"/>
      <c r="AW34" s="393">
        <f t="shared" ref="AW34:AW39" si="9">AQ34+AT34</f>
        <v>87217299</v>
      </c>
      <c r="AX34" s="394"/>
      <c r="AZ34" s="130"/>
      <c r="BB34" s="383"/>
    </row>
    <row r="35" spans="1:54" s="350" customFormat="1" ht="13.2" customHeight="1">
      <c r="A35" s="228" t="s">
        <v>29</v>
      </c>
      <c r="B35" s="384"/>
      <c r="C35" s="224">
        <f>'(A) Budget Summary'!C36</f>
        <v>884735</v>
      </c>
      <c r="D35" s="385"/>
      <c r="E35" s="228"/>
      <c r="F35" s="227">
        <v>0</v>
      </c>
      <c r="G35" s="227"/>
      <c r="H35" s="228"/>
      <c r="I35" s="387">
        <f t="shared" si="6"/>
        <v>884735</v>
      </c>
      <c r="J35" s="388"/>
      <c r="K35" s="228"/>
      <c r="L35" s="224">
        <v>0</v>
      </c>
      <c r="M35" s="223"/>
      <c r="N35" s="223"/>
      <c r="O35" s="223"/>
      <c r="P35" s="224">
        <v>0</v>
      </c>
      <c r="Q35" s="223"/>
      <c r="R35" s="223"/>
      <c r="S35" s="223"/>
      <c r="T35" s="224">
        <v>0</v>
      </c>
      <c r="U35" s="223"/>
      <c r="V35" s="223"/>
      <c r="W35" s="228"/>
      <c r="X35" s="224">
        <v>0</v>
      </c>
      <c r="Y35" s="224"/>
      <c r="Z35" s="224"/>
      <c r="AA35" s="224"/>
      <c r="AB35" s="224"/>
      <c r="AC35" s="224"/>
      <c r="AD35" s="224"/>
      <c r="AE35" s="224"/>
      <c r="AF35" s="224"/>
      <c r="AG35" s="224">
        <v>0</v>
      </c>
      <c r="AH35" s="224"/>
      <c r="AI35" s="224"/>
      <c r="AJ35" s="273"/>
      <c r="AK35" s="273">
        <f>'(D) Tuition Fee Revenue'!N36+'(E) Tuit Fee Discounts'!L35</f>
        <v>0</v>
      </c>
      <c r="AL35" s="273"/>
      <c r="AM35" s="224"/>
      <c r="AN35" s="367">
        <f>SUM(L35:AK35)+F35</f>
        <v>0</v>
      </c>
      <c r="AO35" s="224"/>
      <c r="AP35" s="384"/>
      <c r="AQ35" s="224">
        <f t="shared" si="7"/>
        <v>884735</v>
      </c>
      <c r="AR35" s="385"/>
      <c r="AS35" s="224"/>
      <c r="AT35" s="390">
        <v>0</v>
      </c>
      <c r="AU35" s="391"/>
      <c r="AV35" s="365"/>
      <c r="AW35" s="393">
        <f t="shared" si="9"/>
        <v>884735</v>
      </c>
      <c r="AX35" s="394"/>
      <c r="AZ35" s="130"/>
      <c r="BB35" s="383"/>
    </row>
    <row r="36" spans="1:54" s="350" customFormat="1" ht="13.2" customHeight="1">
      <c r="A36" s="228" t="s">
        <v>24</v>
      </c>
      <c r="B36" s="384"/>
      <c r="C36" s="224">
        <f>'(A) Budget Summary'!C37</f>
        <v>2536619</v>
      </c>
      <c r="D36" s="385"/>
      <c r="E36" s="228"/>
      <c r="F36" s="227">
        <v>0</v>
      </c>
      <c r="G36" s="227"/>
      <c r="H36" s="228"/>
      <c r="I36" s="387">
        <f t="shared" si="6"/>
        <v>2536619</v>
      </c>
      <c r="J36" s="388"/>
      <c r="K36" s="228"/>
      <c r="L36" s="224">
        <v>0</v>
      </c>
      <c r="M36" s="223"/>
      <c r="N36" s="223"/>
      <c r="O36" s="223"/>
      <c r="P36" s="224">
        <v>0</v>
      </c>
      <c r="Q36" s="223"/>
      <c r="R36" s="223"/>
      <c r="S36" s="223"/>
      <c r="T36" s="224">
        <v>0</v>
      </c>
      <c r="U36" s="223"/>
      <c r="V36" s="223"/>
      <c r="W36" s="228"/>
      <c r="X36" s="224">
        <v>0</v>
      </c>
      <c r="Y36" s="224"/>
      <c r="Z36" s="224"/>
      <c r="AA36" s="224"/>
      <c r="AB36" s="224"/>
      <c r="AC36" s="224"/>
      <c r="AD36" s="224"/>
      <c r="AE36" s="224"/>
      <c r="AF36" s="224"/>
      <c r="AG36" s="224">
        <v>0</v>
      </c>
      <c r="AH36" s="224"/>
      <c r="AI36" s="224"/>
      <c r="AJ36" s="273"/>
      <c r="AK36" s="273">
        <f>'(D) Tuition Fee Revenue'!N37+'(E) Tuit Fee Discounts'!L36</f>
        <v>0</v>
      </c>
      <c r="AL36" s="273"/>
      <c r="AM36" s="224"/>
      <c r="AN36" s="367">
        <f>SUM(L36:AK36)+F36</f>
        <v>0</v>
      </c>
      <c r="AO36" s="224"/>
      <c r="AP36" s="384"/>
      <c r="AQ36" s="224">
        <f t="shared" si="7"/>
        <v>2536619</v>
      </c>
      <c r="AR36" s="385"/>
      <c r="AS36" s="224"/>
      <c r="AT36" s="390">
        <v>0</v>
      </c>
      <c r="AU36" s="391"/>
      <c r="AV36" s="365"/>
      <c r="AW36" s="393">
        <f t="shared" si="9"/>
        <v>2536619</v>
      </c>
      <c r="AX36" s="394"/>
      <c r="AZ36" s="130"/>
      <c r="BB36" s="383"/>
    </row>
    <row r="37" spans="1:54" s="350" customFormat="1" ht="13.2" customHeight="1">
      <c r="A37" s="228" t="s">
        <v>25</v>
      </c>
      <c r="B37" s="384"/>
      <c r="C37" s="224">
        <f>'(A) Budget Summary'!C38</f>
        <v>11800</v>
      </c>
      <c r="D37" s="385"/>
      <c r="E37" s="228"/>
      <c r="F37" s="227">
        <v>0</v>
      </c>
      <c r="G37" s="227"/>
      <c r="H37" s="228"/>
      <c r="I37" s="387">
        <f t="shared" si="6"/>
        <v>11800</v>
      </c>
      <c r="J37" s="388"/>
      <c r="K37" s="228"/>
      <c r="L37" s="224">
        <v>0</v>
      </c>
      <c r="M37" s="223"/>
      <c r="N37" s="223"/>
      <c r="O37" s="223"/>
      <c r="P37" s="224">
        <v>0</v>
      </c>
      <c r="Q37" s="223"/>
      <c r="R37" s="223"/>
      <c r="S37" s="223"/>
      <c r="T37" s="224">
        <v>0</v>
      </c>
      <c r="U37" s="223"/>
      <c r="V37" s="223"/>
      <c r="W37" s="228"/>
      <c r="X37" s="224">
        <v>0</v>
      </c>
      <c r="Y37" s="224"/>
      <c r="Z37" s="224"/>
      <c r="AA37" s="224"/>
      <c r="AB37" s="224"/>
      <c r="AC37" s="224"/>
      <c r="AD37" s="224"/>
      <c r="AE37" s="224"/>
      <c r="AF37" s="224"/>
      <c r="AG37" s="224">
        <v>0</v>
      </c>
      <c r="AH37" s="224"/>
      <c r="AI37" s="224"/>
      <c r="AJ37" s="273"/>
      <c r="AK37" s="273">
        <f>'(D) Tuition Fee Revenue'!N38+'(E) Tuit Fee Discounts'!L37</f>
        <v>0</v>
      </c>
      <c r="AL37" s="273"/>
      <c r="AM37" s="224"/>
      <c r="AN37" s="367">
        <f>SUM(L37:AK37)+F37</f>
        <v>0</v>
      </c>
      <c r="AO37" s="224"/>
      <c r="AP37" s="384"/>
      <c r="AQ37" s="224">
        <f t="shared" si="7"/>
        <v>11800</v>
      </c>
      <c r="AR37" s="385"/>
      <c r="AS37" s="224"/>
      <c r="AT37" s="390">
        <v>0</v>
      </c>
      <c r="AU37" s="391"/>
      <c r="AV37" s="365"/>
      <c r="AW37" s="393">
        <f t="shared" si="9"/>
        <v>11800</v>
      </c>
      <c r="AX37" s="394"/>
      <c r="AZ37" s="130"/>
      <c r="BB37" s="383"/>
    </row>
    <row r="38" spans="1:54" s="350" customFormat="1" ht="13.2" customHeight="1">
      <c r="A38" s="228" t="s">
        <v>26</v>
      </c>
      <c r="B38" s="384"/>
      <c r="C38" s="224">
        <f>'(A) Budget Summary'!C39</f>
        <v>161247413</v>
      </c>
      <c r="D38" s="385"/>
      <c r="E38" s="227"/>
      <c r="F38" s="227">
        <v>1027400</v>
      </c>
      <c r="G38" s="386"/>
      <c r="H38" s="227"/>
      <c r="I38" s="387">
        <f t="shared" si="6"/>
        <v>162274813</v>
      </c>
      <c r="J38" s="388"/>
      <c r="K38" s="227"/>
      <c r="L38" s="224">
        <f>-1298500</f>
        <v>-1298500</v>
      </c>
      <c r="M38" s="223"/>
      <c r="N38" s="223"/>
      <c r="O38" s="223"/>
      <c r="P38" s="224">
        <f>-38000000</f>
        <v>-38000000</v>
      </c>
      <c r="Q38" s="223"/>
      <c r="R38" s="223"/>
      <c r="S38" s="223"/>
      <c r="T38" s="224">
        <f>-2149400</f>
        <v>-2149400</v>
      </c>
      <c r="U38" s="223"/>
      <c r="V38" s="223"/>
      <c r="W38" s="227"/>
      <c r="X38" s="224">
        <f>-10000000-7084200-115800</f>
        <v>-17200000</v>
      </c>
      <c r="Y38" s="224"/>
      <c r="Z38" s="224"/>
      <c r="AA38" s="224">
        <f>-AA32</f>
        <v>-5755000</v>
      </c>
      <c r="AB38" s="403"/>
      <c r="AC38" s="41"/>
      <c r="AD38" s="224">
        <f>-58162-12000-1000000-339412-308205-129082-179011-6706-100000-210584-215375</f>
        <v>-2558537</v>
      </c>
      <c r="AE38" s="403"/>
      <c r="AF38" s="404"/>
      <c r="AG38" s="224">
        <v>0</v>
      </c>
      <c r="AH38" s="224"/>
      <c r="AI38" s="224"/>
      <c r="AJ38" s="273"/>
      <c r="AK38" s="273">
        <f>'(D) Tuition Fee Revenue'!N39+'(E) Tuit Fee Discounts'!L38</f>
        <v>0</v>
      </c>
      <c r="AL38" s="273"/>
      <c r="AM38" s="224"/>
      <c r="AN38" s="367">
        <f>SUM(L38:AK38)+F38-AE38</f>
        <v>-65934037</v>
      </c>
      <c r="AO38" s="224"/>
      <c r="AP38" s="384"/>
      <c r="AQ38" s="224">
        <f t="shared" si="7"/>
        <v>95313376</v>
      </c>
      <c r="AR38" s="385"/>
      <c r="AS38" s="224"/>
      <c r="AT38" s="390">
        <f>24535000</f>
        <v>24535000</v>
      </c>
      <c r="AU38" s="391"/>
      <c r="AV38" s="365"/>
      <c r="AW38" s="393">
        <f t="shared" si="9"/>
        <v>119848376</v>
      </c>
      <c r="AX38" s="394"/>
      <c r="AZ38" s="130"/>
      <c r="BB38" s="383"/>
    </row>
    <row r="39" spans="1:54" s="350" customFormat="1" ht="13.2" customHeight="1">
      <c r="A39" s="41" t="s">
        <v>124</v>
      </c>
      <c r="B39" s="384"/>
      <c r="C39" s="224">
        <f>'(A) Budget Summary'!C40</f>
        <v>90536000</v>
      </c>
      <c r="D39" s="385"/>
      <c r="E39" s="227"/>
      <c r="F39" s="227">
        <v>0</v>
      </c>
      <c r="G39" s="227"/>
      <c r="H39" s="227"/>
      <c r="I39" s="387">
        <f t="shared" si="6"/>
        <v>90536000</v>
      </c>
      <c r="J39" s="388"/>
      <c r="K39" s="227"/>
      <c r="L39" s="224">
        <v>0</v>
      </c>
      <c r="M39" s="223"/>
      <c r="N39" s="223"/>
      <c r="O39" s="223"/>
      <c r="P39" s="224">
        <v>0</v>
      </c>
      <c r="Q39" s="223"/>
      <c r="R39" s="223"/>
      <c r="S39" s="223"/>
      <c r="T39" s="224">
        <v>0</v>
      </c>
      <c r="U39" s="223"/>
      <c r="V39" s="223"/>
      <c r="W39" s="227"/>
      <c r="X39" s="224">
        <v>0</v>
      </c>
      <c r="Y39" s="224"/>
      <c r="Z39" s="224"/>
      <c r="AA39" s="224"/>
      <c r="AB39" s="403"/>
      <c r="AC39" s="41"/>
      <c r="AD39" s="224">
        <f>197237000+99079000-90536000</f>
        <v>205780000</v>
      </c>
      <c r="AE39" s="403">
        <v>4</v>
      </c>
      <c r="AF39" s="404"/>
      <c r="AG39" s="224">
        <v>0</v>
      </c>
      <c r="AH39" s="224"/>
      <c r="AI39" s="224"/>
      <c r="AJ39" s="273"/>
      <c r="AK39" s="273">
        <f>'(D) Tuition Fee Revenue'!N40+'(E) Tuit Fee Discounts'!L39</f>
        <v>0</v>
      </c>
      <c r="AL39" s="273"/>
      <c r="AM39" s="224"/>
      <c r="AN39" s="367">
        <f>SUM(L39:AK39)+F39-AE39</f>
        <v>205780000</v>
      </c>
      <c r="AO39" s="224"/>
      <c r="AP39" s="384"/>
      <c r="AQ39" s="224">
        <f t="shared" si="7"/>
        <v>296316000</v>
      </c>
      <c r="AR39" s="385"/>
      <c r="AS39" s="224"/>
      <c r="AT39" s="390">
        <v>0</v>
      </c>
      <c r="AU39" s="391"/>
      <c r="AV39" s="365"/>
      <c r="AW39" s="393">
        <f t="shared" si="9"/>
        <v>296316000</v>
      </c>
      <c r="AX39" s="394"/>
      <c r="AZ39" s="130"/>
      <c r="BB39" s="383"/>
    </row>
    <row r="40" spans="1:54" s="350" customFormat="1" ht="6" customHeight="1">
      <c r="A40" s="228"/>
      <c r="B40" s="384"/>
      <c r="C40" s="224"/>
      <c r="D40" s="385"/>
      <c r="E40" s="228"/>
      <c r="F40" s="228"/>
      <c r="G40" s="228"/>
      <c r="H40" s="228"/>
      <c r="I40" s="367"/>
      <c r="J40" s="224"/>
      <c r="K40" s="228"/>
      <c r="L40" s="223"/>
      <c r="M40" s="223"/>
      <c r="N40" s="223"/>
      <c r="O40" s="223"/>
      <c r="P40" s="223"/>
      <c r="Q40" s="223"/>
      <c r="R40" s="223"/>
      <c r="S40" s="223"/>
      <c r="T40" s="223"/>
      <c r="U40" s="223"/>
      <c r="V40" s="223"/>
      <c r="W40" s="228"/>
      <c r="X40" s="224"/>
      <c r="Y40" s="224"/>
      <c r="Z40" s="224"/>
      <c r="AA40" s="224"/>
      <c r="AB40" s="224"/>
      <c r="AC40" s="224"/>
      <c r="AD40" s="224"/>
      <c r="AE40" s="224"/>
      <c r="AF40" s="224"/>
      <c r="AG40" s="224"/>
      <c r="AH40" s="224"/>
      <c r="AI40" s="224"/>
      <c r="AJ40" s="273"/>
      <c r="AK40" s="273"/>
      <c r="AL40" s="273"/>
      <c r="AM40" s="224"/>
      <c r="AN40" s="367"/>
      <c r="AO40" s="224"/>
      <c r="AP40" s="384"/>
      <c r="AQ40" s="224"/>
      <c r="AR40" s="385"/>
      <c r="AS40" s="224"/>
      <c r="AT40" s="405"/>
      <c r="AU40" s="130"/>
      <c r="AV40" s="365"/>
      <c r="AW40" s="130"/>
      <c r="AX40" s="394"/>
      <c r="AZ40" s="130"/>
      <c r="BB40" s="383"/>
    </row>
    <row r="41" spans="1:54" s="383" customFormat="1" ht="16.2" customHeight="1" thickBot="1">
      <c r="A41" s="231" t="s">
        <v>27</v>
      </c>
      <c r="B41" s="406"/>
      <c r="C41" s="231">
        <f>SUM(C32:C39)</f>
        <v>2330500000.1599998</v>
      </c>
      <c r="D41" s="407"/>
      <c r="E41" s="231"/>
      <c r="F41" s="231">
        <f>SUM(F32:F39)</f>
        <v>15632000</v>
      </c>
      <c r="G41" s="231"/>
      <c r="H41" s="231"/>
      <c r="I41" s="408">
        <f>SUM(I32:I39)</f>
        <v>2346132000.1599998</v>
      </c>
      <c r="J41" s="231"/>
      <c r="K41" s="231"/>
      <c r="L41" s="122">
        <f>SUM(L32:L38)</f>
        <v>0</v>
      </c>
      <c r="M41" s="122"/>
      <c r="N41" s="122"/>
      <c r="O41" s="122"/>
      <c r="P41" s="122">
        <f>SUM(P32:P38)</f>
        <v>0</v>
      </c>
      <c r="Q41" s="122"/>
      <c r="R41" s="122"/>
      <c r="S41" s="122"/>
      <c r="T41" s="122">
        <f>SUM(T32:T38)</f>
        <v>0</v>
      </c>
      <c r="U41" s="122"/>
      <c r="V41" s="122"/>
      <c r="W41" s="231"/>
      <c r="X41" s="231">
        <f>SUM(X32:X39)</f>
        <v>0</v>
      </c>
      <c r="Y41" s="231"/>
      <c r="Z41" s="231"/>
      <c r="AA41" s="231">
        <f>SUM(AA32:AA39)</f>
        <v>0</v>
      </c>
      <c r="AB41" s="231"/>
      <c r="AC41" s="231"/>
      <c r="AD41" s="231">
        <f>SUM(AD32:AD39)</f>
        <v>205780000</v>
      </c>
      <c r="AE41" s="231"/>
      <c r="AF41" s="231"/>
      <c r="AG41" s="231">
        <f>SUM(AG32:AG39)</f>
        <v>1179000</v>
      </c>
      <c r="AH41" s="231"/>
      <c r="AI41" s="231"/>
      <c r="AJ41" s="279"/>
      <c r="AK41" s="280">
        <f>SUM(AK32:AK38)</f>
        <v>0</v>
      </c>
      <c r="AL41" s="279"/>
      <c r="AM41" s="231"/>
      <c r="AN41" s="408">
        <f>SUM(AN32:AN39)</f>
        <v>222591000</v>
      </c>
      <c r="AO41" s="231"/>
      <c r="AP41" s="406"/>
      <c r="AQ41" s="231">
        <f>SUM(AQ32:AQ39)</f>
        <v>2553091000.1599998</v>
      </c>
      <c r="AR41" s="407"/>
      <c r="AS41" s="226"/>
      <c r="AT41" s="409">
        <f>SUM(AT32:AT39)</f>
        <v>0</v>
      </c>
      <c r="AU41" s="130"/>
      <c r="AV41" s="410"/>
      <c r="AW41" s="169">
        <f>SUM(AW32:AW39)</f>
        <v>2553091000.1599998</v>
      </c>
      <c r="AX41" s="411"/>
      <c r="AZ41" s="159"/>
    </row>
    <row r="42" spans="1:54">
      <c r="AM42" s="412"/>
      <c r="AN42" s="412"/>
      <c r="AO42" s="412"/>
      <c r="AP42" s="412"/>
      <c r="AQ42" s="412"/>
      <c r="AV42" s="130"/>
      <c r="AW42" s="130"/>
      <c r="AX42" s="130"/>
    </row>
    <row r="43" spans="1:54" ht="30" customHeight="1">
      <c r="A43" s="449" t="s">
        <v>159</v>
      </c>
      <c r="B43" s="449"/>
      <c r="C43" s="449"/>
      <c r="D43" s="449"/>
      <c r="E43" s="449"/>
      <c r="F43" s="449"/>
      <c r="G43" s="449"/>
      <c r="H43" s="449"/>
      <c r="I43" s="449"/>
      <c r="J43" s="449"/>
      <c r="K43" s="449"/>
      <c r="L43" s="449"/>
      <c r="M43" s="449"/>
      <c r="N43" s="449"/>
      <c r="O43" s="449"/>
      <c r="P43" s="449"/>
      <c r="Q43" s="449"/>
      <c r="R43" s="449"/>
      <c r="S43" s="449"/>
      <c r="T43" s="449"/>
      <c r="U43" s="449"/>
      <c r="V43" s="449"/>
      <c r="W43" s="449"/>
      <c r="X43" s="449"/>
      <c r="Y43" s="449"/>
      <c r="Z43" s="449"/>
      <c r="AA43" s="449"/>
      <c r="AB43" s="449"/>
      <c r="AC43" s="449"/>
      <c r="AD43" s="449"/>
      <c r="AE43" s="449"/>
      <c r="AF43" s="449"/>
      <c r="AG43" s="449"/>
      <c r="AH43" s="449"/>
      <c r="AI43" s="449"/>
      <c r="AJ43" s="449"/>
      <c r="AK43" s="449"/>
      <c r="AL43" s="449"/>
      <c r="AM43" s="449"/>
      <c r="AN43" s="449"/>
      <c r="AO43" s="449"/>
      <c r="AP43" s="449"/>
      <c r="AQ43" s="449"/>
      <c r="AV43" s="130"/>
      <c r="AW43" s="130"/>
      <c r="AX43" s="130"/>
    </row>
    <row r="44" spans="1:54" ht="15.6">
      <c r="A44" s="41" t="s">
        <v>166</v>
      </c>
      <c r="B44" s="413"/>
      <c r="C44" s="413"/>
      <c r="D44" s="413"/>
      <c r="E44" s="413"/>
      <c r="F44" s="413"/>
      <c r="G44" s="413"/>
      <c r="H44" s="413"/>
      <c r="I44" s="413"/>
      <c r="J44" s="413"/>
      <c r="K44" s="413"/>
      <c r="L44" s="413"/>
      <c r="M44" s="413"/>
      <c r="N44" s="413"/>
      <c r="O44" s="413"/>
      <c r="P44" s="413"/>
      <c r="Q44" s="413"/>
      <c r="R44" s="413"/>
      <c r="S44" s="413"/>
      <c r="T44" s="413"/>
      <c r="U44" s="413"/>
      <c r="V44" s="413"/>
      <c r="W44" s="413"/>
      <c r="X44" s="413"/>
      <c r="Y44" s="413"/>
      <c r="Z44" s="413"/>
      <c r="AA44" s="413"/>
      <c r="AB44" s="413"/>
      <c r="AC44" s="413"/>
      <c r="AD44" s="413"/>
      <c r="AE44" s="413"/>
      <c r="AF44" s="413"/>
      <c r="AG44" s="413"/>
      <c r="AH44" s="413"/>
      <c r="AI44" s="413"/>
      <c r="AJ44" s="413"/>
      <c r="AK44" s="413"/>
      <c r="AL44" s="413"/>
      <c r="AM44" s="413"/>
      <c r="AN44" s="413"/>
      <c r="AO44" s="413"/>
      <c r="AP44" s="413"/>
      <c r="AQ44" s="413"/>
    </row>
    <row r="45" spans="1:54" ht="15.6">
      <c r="A45" s="41" t="s">
        <v>160</v>
      </c>
      <c r="AJ45" s="343"/>
      <c r="AK45" s="343"/>
      <c r="AL45" s="343"/>
      <c r="AM45" s="412"/>
      <c r="AN45" s="412"/>
      <c r="AO45" s="412"/>
      <c r="AP45" s="412"/>
      <c r="AQ45" s="224"/>
    </row>
    <row r="46" spans="1:54" s="171" customFormat="1" ht="15.6" customHeight="1">
      <c r="A46" s="437" t="s">
        <v>128</v>
      </c>
      <c r="B46" s="437"/>
      <c r="C46" s="437"/>
      <c r="D46" s="437"/>
      <c r="E46" s="437"/>
      <c r="F46" s="437"/>
      <c r="G46" s="437"/>
      <c r="H46" s="437"/>
      <c r="I46" s="437"/>
      <c r="J46" s="437"/>
      <c r="K46" s="437"/>
      <c r="L46" s="437"/>
      <c r="M46" s="437"/>
      <c r="N46" s="437"/>
      <c r="O46" s="437"/>
      <c r="P46" s="437"/>
      <c r="Q46" s="437"/>
      <c r="R46" s="437"/>
      <c r="S46" s="437"/>
      <c r="T46" s="437"/>
      <c r="U46" s="437"/>
      <c r="V46" s="437"/>
      <c r="W46" s="437"/>
      <c r="X46" s="437"/>
      <c r="Y46" s="437"/>
      <c r="Z46" s="437"/>
      <c r="AA46" s="437"/>
      <c r="AB46" s="437"/>
      <c r="AC46" s="437"/>
      <c r="AD46" s="437"/>
      <c r="AE46" s="437"/>
      <c r="AF46" s="437"/>
      <c r="AG46" s="437"/>
      <c r="AH46" s="437"/>
      <c r="AI46" s="437"/>
      <c r="AJ46" s="437"/>
      <c r="AK46" s="437"/>
      <c r="AL46" s="437"/>
      <c r="AM46" s="437"/>
      <c r="AN46" s="437"/>
      <c r="AO46" s="437"/>
      <c r="AP46" s="437"/>
      <c r="AQ46" s="437"/>
      <c r="AT46" s="414"/>
      <c r="AU46" s="414"/>
      <c r="AV46" s="414"/>
      <c r="AW46" s="414"/>
      <c r="AZ46" s="172"/>
    </row>
    <row r="47" spans="1:54" s="171" customFormat="1" ht="15.6" customHeight="1">
      <c r="A47" s="205" t="s">
        <v>129</v>
      </c>
      <c r="B47" s="343"/>
      <c r="C47" s="343"/>
      <c r="D47" s="343"/>
      <c r="E47" s="343"/>
      <c r="F47" s="343"/>
      <c r="G47" s="343"/>
      <c r="H47" s="343"/>
      <c r="I47" s="343"/>
      <c r="J47" s="343"/>
      <c r="K47" s="343"/>
      <c r="L47" s="343"/>
      <c r="M47" s="343"/>
      <c r="N47" s="343"/>
      <c r="O47" s="343"/>
      <c r="P47" s="343"/>
      <c r="Q47" s="343"/>
      <c r="R47" s="343"/>
      <c r="S47" s="343"/>
      <c r="T47" s="343"/>
      <c r="U47" s="343"/>
      <c r="V47" s="343"/>
      <c r="W47" s="343"/>
      <c r="X47" s="343"/>
      <c r="Y47" s="343"/>
      <c r="Z47" s="343"/>
      <c r="AA47" s="343"/>
      <c r="AB47" s="343"/>
      <c r="AC47" s="343"/>
      <c r="AD47" s="343"/>
      <c r="AE47" s="343"/>
      <c r="AF47" s="343"/>
      <c r="AG47" s="343"/>
      <c r="AH47" s="343"/>
      <c r="AI47" s="343"/>
      <c r="AJ47" s="228"/>
      <c r="AK47" s="228"/>
      <c r="AL47" s="228"/>
      <c r="AM47" s="343"/>
      <c r="AN47" s="343"/>
      <c r="AO47" s="343"/>
      <c r="AP47" s="343"/>
      <c r="AQ47" s="281"/>
      <c r="AZ47" s="172"/>
    </row>
    <row r="48" spans="1:54" ht="15.6" customHeight="1">
      <c r="A48" s="437" t="s">
        <v>161</v>
      </c>
      <c r="B48" s="437"/>
      <c r="C48" s="437"/>
      <c r="D48" s="437"/>
      <c r="E48" s="437"/>
      <c r="F48" s="437"/>
      <c r="G48" s="437"/>
      <c r="H48" s="437"/>
      <c r="I48" s="437"/>
      <c r="J48" s="437"/>
      <c r="K48" s="437"/>
      <c r="L48" s="437"/>
      <c r="M48" s="437"/>
      <c r="N48" s="437"/>
      <c r="O48" s="437"/>
      <c r="P48" s="437"/>
      <c r="Q48" s="437"/>
      <c r="R48" s="437"/>
      <c r="S48" s="437"/>
      <c r="T48" s="437"/>
      <c r="U48" s="437"/>
      <c r="V48" s="437"/>
      <c r="W48" s="437"/>
      <c r="X48" s="437"/>
      <c r="Y48" s="437"/>
      <c r="Z48" s="437"/>
      <c r="AA48" s="437"/>
      <c r="AB48" s="437"/>
      <c r="AC48" s="437"/>
      <c r="AD48" s="437"/>
      <c r="AE48" s="437"/>
      <c r="AF48" s="437"/>
      <c r="AG48" s="437"/>
      <c r="AH48" s="437"/>
      <c r="AI48" s="437"/>
      <c r="AJ48" s="437"/>
      <c r="AK48" s="437"/>
      <c r="AL48" s="437"/>
      <c r="AM48" s="437"/>
      <c r="AN48" s="437"/>
      <c r="AO48" s="437"/>
      <c r="AP48" s="437"/>
      <c r="AQ48" s="437"/>
    </row>
    <row r="49" spans="1:43" ht="15.6" customHeight="1">
      <c r="A49" s="437" t="s">
        <v>175</v>
      </c>
      <c r="B49" s="437"/>
      <c r="C49" s="437"/>
      <c r="D49" s="437"/>
      <c r="E49" s="437"/>
      <c r="F49" s="437"/>
      <c r="G49" s="437"/>
      <c r="H49" s="437"/>
      <c r="I49" s="437"/>
      <c r="J49" s="437"/>
      <c r="K49" s="437"/>
      <c r="L49" s="437"/>
      <c r="M49" s="437"/>
      <c r="N49" s="437"/>
      <c r="O49" s="437"/>
      <c r="P49" s="437"/>
      <c r="Q49" s="437"/>
      <c r="R49" s="437"/>
      <c r="S49" s="437"/>
      <c r="T49" s="437"/>
      <c r="U49" s="437"/>
      <c r="V49" s="437"/>
      <c r="W49" s="437"/>
      <c r="X49" s="437"/>
      <c r="Y49" s="437"/>
      <c r="Z49" s="437"/>
      <c r="AA49" s="437"/>
      <c r="AB49" s="437"/>
      <c r="AC49" s="437"/>
      <c r="AD49" s="437"/>
      <c r="AE49" s="437"/>
      <c r="AF49" s="437"/>
      <c r="AG49" s="437"/>
      <c r="AH49" s="437"/>
      <c r="AI49" s="437"/>
      <c r="AJ49" s="437"/>
      <c r="AK49" s="437"/>
      <c r="AL49" s="437"/>
      <c r="AM49" s="437"/>
      <c r="AN49" s="437"/>
      <c r="AO49" s="437"/>
      <c r="AP49" s="437"/>
      <c r="AQ49" s="437"/>
    </row>
  </sheetData>
  <mergeCells count="14">
    <mergeCell ref="A49:AQ49"/>
    <mergeCell ref="AV5:AX5"/>
    <mergeCell ref="A48:AQ48"/>
    <mergeCell ref="AJ6:AL6"/>
    <mergeCell ref="W5:Y5"/>
    <mergeCell ref="AF5:AH5"/>
    <mergeCell ref="K5:M5"/>
    <mergeCell ref="AP5:AR5"/>
    <mergeCell ref="B5:D5"/>
    <mergeCell ref="AJ5:AL5"/>
    <mergeCell ref="A43:AQ43"/>
    <mergeCell ref="S5:U5"/>
    <mergeCell ref="O5:Q5"/>
    <mergeCell ref="A46:AQ46"/>
  </mergeCells>
  <phoneticPr fontId="0" type="noConversion"/>
  <printOptions horizontalCentered="1"/>
  <pageMargins left="0.25" right="0.25" top="0.5" bottom="0.25" header="0.5" footer="0.5"/>
  <pageSetup paperSize="5"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9"/>
  <sheetViews>
    <sheetView zoomScaleNormal="100" workbookViewId="0">
      <selection activeCell="A45" sqref="A45:XFD45"/>
    </sheetView>
  </sheetViews>
  <sheetFormatPr defaultColWidth="10.77734375" defaultRowHeight="15.6"/>
  <cols>
    <col min="1" max="1" width="25.77734375" style="66" customWidth="1"/>
    <col min="2" max="2" width="17.77734375" style="66" customWidth="1"/>
    <col min="3" max="3" width="2.77734375" style="67" customWidth="1"/>
    <col min="4" max="4" width="13.77734375" style="67" customWidth="1"/>
    <col min="5" max="5" width="2.77734375" style="67" customWidth="1"/>
    <col min="6" max="6" width="7.77734375" style="67" customWidth="1"/>
    <col min="7" max="7" width="14.88671875" style="67" customWidth="1"/>
    <col min="8" max="8" width="7.6640625" style="67" customWidth="1"/>
    <col min="9" max="9" width="2.77734375" style="67" customWidth="1"/>
    <col min="10" max="10" width="1.88671875" style="67" bestFit="1" customWidth="1"/>
    <col min="11" max="11" width="13.6640625" style="67" bestFit="1" customWidth="1"/>
    <col min="12" max="13" width="2.77734375" style="67" customWidth="1"/>
    <col min="14" max="14" width="13.77734375" style="67" customWidth="1"/>
    <col min="15" max="15" width="2.77734375" style="67" customWidth="1"/>
    <col min="16" max="16" width="15.77734375" style="66" customWidth="1"/>
    <col min="17" max="17" width="2.77734375" style="66" customWidth="1"/>
    <col min="18" max="18" width="12.44140625" style="68" bestFit="1" customWidth="1"/>
    <col min="19" max="19" width="6.77734375" style="66" customWidth="1"/>
    <col min="20" max="20" width="11.77734375" style="66" bestFit="1" customWidth="1"/>
    <col min="21" max="16384" width="10.77734375" style="66"/>
  </cols>
  <sheetData>
    <row r="1" spans="1:19" ht="24" customHeight="1">
      <c r="A1" s="325" t="s">
        <v>164</v>
      </c>
      <c r="B1" s="325"/>
      <c r="C1" s="326"/>
      <c r="D1" s="326"/>
      <c r="E1" s="326"/>
      <c r="F1" s="326"/>
      <c r="G1" s="326"/>
      <c r="H1" s="326"/>
      <c r="I1" s="326"/>
      <c r="J1" s="326"/>
      <c r="K1" s="326"/>
      <c r="L1" s="326"/>
      <c r="M1" s="326"/>
      <c r="N1" s="326"/>
      <c r="O1" s="326"/>
      <c r="P1" s="327"/>
      <c r="Q1" s="327"/>
    </row>
    <row r="2" spans="1:19" ht="13.2" customHeight="1">
      <c r="A2" s="325"/>
      <c r="B2" s="325"/>
      <c r="C2" s="326"/>
      <c r="D2" s="326"/>
      <c r="E2" s="326"/>
      <c r="F2" s="326"/>
      <c r="G2" s="326"/>
      <c r="H2" s="326"/>
      <c r="I2" s="326"/>
      <c r="J2" s="326"/>
      <c r="K2" s="326"/>
      <c r="L2" s="326"/>
      <c r="M2" s="326"/>
      <c r="N2" s="326"/>
      <c r="O2" s="326"/>
      <c r="P2" s="327"/>
      <c r="Q2" s="327"/>
    </row>
    <row r="3" spans="1:19">
      <c r="A3" s="287"/>
      <c r="B3" s="415">
        <v>-1</v>
      </c>
      <c r="D3" s="285">
        <v>-2</v>
      </c>
      <c r="E3" s="285"/>
      <c r="G3" s="415">
        <v>-3</v>
      </c>
      <c r="H3" s="415"/>
      <c r="I3" s="415"/>
      <c r="K3" s="285">
        <v>-4</v>
      </c>
      <c r="L3" s="285"/>
      <c r="N3" s="353">
        <v>-5</v>
      </c>
      <c r="O3" s="353"/>
      <c r="P3" s="353">
        <v>-6</v>
      </c>
      <c r="Q3" s="187"/>
      <c r="R3" s="286">
        <f>-(7)</f>
        <v>-7</v>
      </c>
    </row>
    <row r="4" spans="1:19" s="335" customFormat="1" ht="39.6" customHeight="1">
      <c r="A4" s="332"/>
      <c r="B4" s="344" t="s">
        <v>152</v>
      </c>
      <c r="C4" s="332"/>
      <c r="D4" s="344" t="s">
        <v>110</v>
      </c>
      <c r="E4" s="333"/>
      <c r="F4" s="450" t="s">
        <v>151</v>
      </c>
      <c r="G4" s="450"/>
      <c r="H4" s="450"/>
      <c r="I4" s="331">
        <v>1</v>
      </c>
      <c r="K4" s="344" t="s">
        <v>149</v>
      </c>
      <c r="L4" s="337">
        <v>2</v>
      </c>
      <c r="N4" s="344" t="s">
        <v>115</v>
      </c>
      <c r="O4" s="333"/>
      <c r="P4" s="344" t="s">
        <v>142</v>
      </c>
      <c r="Q4" s="334"/>
      <c r="R4" s="336" t="s">
        <v>148</v>
      </c>
    </row>
    <row r="5" spans="1:19" s="70" customFormat="1" ht="20.399999999999999">
      <c r="B5" s="330" t="s">
        <v>173</v>
      </c>
      <c r="C5" s="100"/>
      <c r="D5" s="100"/>
      <c r="E5" s="100"/>
      <c r="F5" s="100"/>
      <c r="G5" s="100"/>
      <c r="H5" s="100"/>
      <c r="I5" s="100"/>
      <c r="J5" s="100"/>
      <c r="K5" s="338" t="s">
        <v>118</v>
      </c>
      <c r="L5" s="338"/>
      <c r="M5" s="100"/>
      <c r="N5" s="100"/>
      <c r="O5" s="100"/>
      <c r="P5" s="330" t="s">
        <v>174</v>
      </c>
      <c r="Q5" s="330"/>
      <c r="R5" s="330" t="s">
        <v>146</v>
      </c>
    </row>
    <row r="6" spans="1:19" ht="12" customHeight="1">
      <c r="A6" s="69"/>
      <c r="B6" s="69"/>
      <c r="C6" s="90"/>
      <c r="D6" s="90"/>
      <c r="E6" s="90"/>
      <c r="F6" s="90"/>
      <c r="G6" s="90"/>
      <c r="H6" s="90"/>
      <c r="I6" s="90"/>
      <c r="J6" s="90"/>
      <c r="K6" s="90"/>
      <c r="L6" s="90"/>
      <c r="M6" s="90"/>
      <c r="N6" s="90"/>
      <c r="O6" s="90"/>
      <c r="P6" s="71"/>
      <c r="Q6" s="71"/>
      <c r="R6" s="71"/>
    </row>
    <row r="7" spans="1:19" s="72" customFormat="1" ht="13.2" customHeight="1">
      <c r="A7" s="76" t="s">
        <v>0</v>
      </c>
      <c r="B7" s="76">
        <f>ROUND(9737*'(D) Tuition Fee Revenue'!D9/1000,0)*1000</f>
        <v>1558000</v>
      </c>
      <c r="C7" s="91"/>
      <c r="D7" s="91">
        <v>253000</v>
      </c>
      <c r="E7" s="91"/>
      <c r="F7" s="91"/>
      <c r="G7" s="91">
        <v>196000</v>
      </c>
      <c r="H7" s="91"/>
      <c r="I7" s="91"/>
      <c r="J7" s="91"/>
      <c r="K7" s="416">
        <v>1796700</v>
      </c>
      <c r="L7" s="416"/>
      <c r="M7" s="91"/>
      <c r="N7" s="91"/>
      <c r="O7" s="91"/>
      <c r="P7" s="379">
        <f>-'(D) Tuition Fee Revenue'!Q9</f>
        <v>-772000</v>
      </c>
      <c r="Q7" s="381"/>
      <c r="R7" s="77">
        <f t="shared" ref="R7:R29" si="0">B7+D7+G7+K7+N7+P7</f>
        <v>3031700</v>
      </c>
    </row>
    <row r="8" spans="1:19" ht="13.2" customHeight="1">
      <c r="A8" s="78" t="s">
        <v>1</v>
      </c>
      <c r="B8" s="78">
        <f>ROUND((9737)*'(D) Tuition Fee Revenue'!D10/1000,0)*1000</f>
        <v>5842000</v>
      </c>
      <c r="C8" s="91"/>
      <c r="D8" s="83">
        <v>246000</v>
      </c>
      <c r="E8" s="83"/>
      <c r="F8" s="83"/>
      <c r="G8" s="83">
        <v>0</v>
      </c>
      <c r="H8" s="83"/>
      <c r="I8" s="83"/>
      <c r="J8" s="83"/>
      <c r="K8" s="417">
        <v>1655300</v>
      </c>
      <c r="L8" s="417"/>
      <c r="M8" s="83"/>
      <c r="N8" s="83"/>
      <c r="O8" s="83"/>
      <c r="P8" s="391">
        <f>-'(D) Tuition Fee Revenue'!Q10</f>
        <v>-2839000</v>
      </c>
      <c r="Q8" s="393"/>
      <c r="R8" s="79">
        <f t="shared" si="0"/>
        <v>4904300</v>
      </c>
      <c r="S8" s="328"/>
    </row>
    <row r="9" spans="1:19" ht="13.2" customHeight="1">
      <c r="A9" s="78" t="s">
        <v>2</v>
      </c>
      <c r="B9" s="78">
        <f>ROUND((9737)*'(D) Tuition Fee Revenue'!D11/1000,0)*1000</f>
        <v>1947000</v>
      </c>
      <c r="C9" s="91"/>
      <c r="D9" s="83">
        <v>534000</v>
      </c>
      <c r="E9" s="83"/>
      <c r="F9" s="83"/>
      <c r="G9" s="83">
        <v>0</v>
      </c>
      <c r="H9" s="83"/>
      <c r="I9" s="83"/>
      <c r="J9" s="83"/>
      <c r="K9" s="417">
        <v>3506100</v>
      </c>
      <c r="L9" s="417"/>
      <c r="M9" s="83"/>
      <c r="N9" s="83"/>
      <c r="O9" s="83"/>
      <c r="P9" s="391">
        <f>-'(D) Tuition Fee Revenue'!Q11</f>
        <v>-904000</v>
      </c>
      <c r="Q9" s="393"/>
      <c r="R9" s="79">
        <f t="shared" si="0"/>
        <v>5083100</v>
      </c>
      <c r="S9" s="329"/>
    </row>
    <row r="10" spans="1:19" ht="13.2" customHeight="1">
      <c r="A10" s="78" t="s">
        <v>3</v>
      </c>
      <c r="B10" s="78">
        <f>ROUND((9737)*'(D) Tuition Fee Revenue'!D12/1000,0)*1000</f>
        <v>2921000</v>
      </c>
      <c r="C10" s="91"/>
      <c r="D10" s="83">
        <v>312000</v>
      </c>
      <c r="E10" s="83"/>
      <c r="F10" s="83"/>
      <c r="G10" s="83">
        <v>0</v>
      </c>
      <c r="H10" s="83"/>
      <c r="I10" s="83"/>
      <c r="J10" s="83"/>
      <c r="K10" s="417">
        <v>2440500</v>
      </c>
      <c r="L10" s="417"/>
      <c r="M10" s="83"/>
      <c r="N10" s="83"/>
      <c r="O10" s="83"/>
      <c r="P10" s="391">
        <f>-'(D) Tuition Fee Revenue'!Q12</f>
        <v>-1680000</v>
      </c>
      <c r="Q10" s="393"/>
      <c r="R10" s="79">
        <f t="shared" si="0"/>
        <v>3993500</v>
      </c>
      <c r="S10" s="329"/>
    </row>
    <row r="11" spans="1:19" ht="13.2" customHeight="1">
      <c r="A11" s="78" t="s">
        <v>28</v>
      </c>
      <c r="B11" s="78">
        <f>ROUND((9737)*'(D) Tuition Fee Revenue'!D13/1000,0)*1000</f>
        <v>3165000</v>
      </c>
      <c r="C11" s="91"/>
      <c r="D11" s="83">
        <v>408000</v>
      </c>
      <c r="E11" s="83"/>
      <c r="F11" s="83"/>
      <c r="G11" s="83">
        <v>0</v>
      </c>
      <c r="H11" s="83"/>
      <c r="I11" s="83"/>
      <c r="J11" s="83"/>
      <c r="K11" s="417">
        <v>3231700</v>
      </c>
      <c r="L11" s="417"/>
      <c r="M11" s="83"/>
      <c r="N11" s="83"/>
      <c r="O11" s="83"/>
      <c r="P11" s="391">
        <f>-'(D) Tuition Fee Revenue'!Q13</f>
        <v>-1635000</v>
      </c>
      <c r="Q11" s="393"/>
      <c r="R11" s="79">
        <f t="shared" si="0"/>
        <v>5169700</v>
      </c>
      <c r="S11" s="329"/>
    </row>
    <row r="12" spans="1:19" ht="13.2" customHeight="1">
      <c r="A12" s="78" t="s">
        <v>4</v>
      </c>
      <c r="B12" s="78">
        <f>ROUND((9737)*'(D) Tuition Fee Revenue'!D14/1000,0)*1000</f>
        <v>3895000</v>
      </c>
      <c r="C12" s="91"/>
      <c r="D12" s="83">
        <v>619000</v>
      </c>
      <c r="E12" s="83"/>
      <c r="F12" s="83"/>
      <c r="G12" s="83">
        <v>501000</v>
      </c>
      <c r="H12" s="83"/>
      <c r="I12" s="83"/>
      <c r="J12" s="83"/>
      <c r="K12" s="417">
        <v>4449100</v>
      </c>
      <c r="L12" s="417"/>
      <c r="M12" s="83"/>
      <c r="N12" s="83"/>
      <c r="O12" s="83"/>
      <c r="P12" s="391">
        <f>-'(D) Tuition Fee Revenue'!Q14</f>
        <v>-1945000</v>
      </c>
      <c r="Q12" s="393"/>
      <c r="R12" s="79">
        <f t="shared" si="0"/>
        <v>7519100</v>
      </c>
    </row>
    <row r="13" spans="1:19" ht="13.2" customHeight="1">
      <c r="A13" s="78" t="s">
        <v>5</v>
      </c>
      <c r="B13" s="78">
        <f>ROUND((9737)*'(D) Tuition Fee Revenue'!D15/1000,0)*1000</f>
        <v>6572000</v>
      </c>
      <c r="C13" s="91"/>
      <c r="D13" s="83">
        <v>872000</v>
      </c>
      <c r="E13" s="83"/>
      <c r="F13" s="83"/>
      <c r="G13" s="83">
        <v>2000</v>
      </c>
      <c r="H13" s="83"/>
      <c r="I13" s="83"/>
      <c r="J13" s="83"/>
      <c r="K13" s="417">
        <v>6624700</v>
      </c>
      <c r="L13" s="417"/>
      <c r="M13" s="83"/>
      <c r="N13" s="83"/>
      <c r="O13" s="83"/>
      <c r="P13" s="391">
        <f>-'(D) Tuition Fee Revenue'!Q15</f>
        <v>-3515000</v>
      </c>
      <c r="Q13" s="393"/>
      <c r="R13" s="79">
        <f t="shared" si="0"/>
        <v>10555700</v>
      </c>
    </row>
    <row r="14" spans="1:19" ht="13.2" customHeight="1">
      <c r="A14" s="78" t="s">
        <v>6</v>
      </c>
      <c r="B14" s="78">
        <f>ROUND((9737)*'(D) Tuition Fee Revenue'!D16/1000,0)*1000</f>
        <v>974000</v>
      </c>
      <c r="C14" s="91"/>
      <c r="D14" s="83">
        <v>335000</v>
      </c>
      <c r="E14" s="83"/>
      <c r="F14" s="83"/>
      <c r="G14" s="83">
        <v>0</v>
      </c>
      <c r="H14" s="83"/>
      <c r="I14" s="83"/>
      <c r="J14" s="83"/>
      <c r="K14" s="417">
        <v>2279000</v>
      </c>
      <c r="L14" s="417"/>
      <c r="M14" s="83"/>
      <c r="N14" s="83"/>
      <c r="O14" s="83"/>
      <c r="P14" s="391">
        <f>-'(D) Tuition Fee Revenue'!Q16</f>
        <v>-447000</v>
      </c>
      <c r="Q14" s="393"/>
      <c r="R14" s="79">
        <f t="shared" si="0"/>
        <v>3141000</v>
      </c>
    </row>
    <row r="15" spans="1:19" ht="13.2" customHeight="1">
      <c r="A15" s="78" t="s">
        <v>7</v>
      </c>
      <c r="B15" s="78">
        <f>ROUND((9737)*'(D) Tuition Fee Revenue'!D17/1000,0)*1000</f>
        <v>6329000</v>
      </c>
      <c r="C15" s="91"/>
      <c r="D15" s="83">
        <v>870000</v>
      </c>
      <c r="E15" s="83"/>
      <c r="F15" s="83"/>
      <c r="G15" s="83">
        <v>0</v>
      </c>
      <c r="H15" s="83"/>
      <c r="I15" s="83"/>
      <c r="J15" s="83"/>
      <c r="K15" s="417">
        <v>7038600</v>
      </c>
      <c r="L15" s="417"/>
      <c r="M15" s="83"/>
      <c r="N15" s="83"/>
      <c r="O15" s="83"/>
      <c r="P15" s="391">
        <f>-'(D) Tuition Fee Revenue'!Q17</f>
        <v>-3387000</v>
      </c>
      <c r="Q15" s="393"/>
      <c r="R15" s="79">
        <f t="shared" si="0"/>
        <v>10850600</v>
      </c>
    </row>
    <row r="16" spans="1:19" ht="13.2" customHeight="1">
      <c r="A16" s="78" t="s">
        <v>8</v>
      </c>
      <c r="B16" s="78">
        <f>ROUND((9737)*'(D) Tuition Fee Revenue'!D18/1000,0)*1000</f>
        <v>3749000</v>
      </c>
      <c r="C16" s="91"/>
      <c r="D16" s="83">
        <v>516000</v>
      </c>
      <c r="E16" s="83"/>
      <c r="F16" s="83"/>
      <c r="G16" s="83">
        <v>46000</v>
      </c>
      <c r="H16" s="83"/>
      <c r="I16" s="83"/>
      <c r="J16" s="83"/>
      <c r="K16" s="417">
        <v>4321000</v>
      </c>
      <c r="L16" s="417"/>
      <c r="M16" s="83"/>
      <c r="N16" s="83"/>
      <c r="O16" s="83"/>
      <c r="P16" s="391">
        <f>-'(D) Tuition Fee Revenue'!Q18</f>
        <v>-2110000</v>
      </c>
      <c r="Q16" s="393"/>
      <c r="R16" s="79">
        <f t="shared" si="0"/>
        <v>6522000</v>
      </c>
    </row>
    <row r="17" spans="1:18" ht="13.2" customHeight="1">
      <c r="A17" s="78" t="s">
        <v>9</v>
      </c>
      <c r="B17" s="78">
        <f>ROUND((9737)*'(D) Tuition Fee Revenue'!D19/1000,0)*1000</f>
        <v>1237000</v>
      </c>
      <c r="C17" s="91"/>
      <c r="D17" s="83">
        <v>71000</v>
      </c>
      <c r="E17" s="83"/>
      <c r="F17" s="83"/>
      <c r="G17" s="83">
        <v>580000</v>
      </c>
      <c r="H17" s="83"/>
      <c r="I17" s="83"/>
      <c r="J17" s="83"/>
      <c r="K17" s="417">
        <v>605600</v>
      </c>
      <c r="L17" s="417"/>
      <c r="M17" s="83"/>
      <c r="N17" s="83"/>
      <c r="O17" s="83"/>
      <c r="P17" s="391">
        <f>-'(D) Tuition Fee Revenue'!Q19</f>
        <v>-386000</v>
      </c>
      <c r="Q17" s="393"/>
      <c r="R17" s="79">
        <f t="shared" si="0"/>
        <v>2107600</v>
      </c>
    </row>
    <row r="18" spans="1:18" ht="13.2" customHeight="1">
      <c r="A18" s="78" t="s">
        <v>10</v>
      </c>
      <c r="B18" s="78">
        <f>ROUND((9737)*'(D) Tuition Fee Revenue'!D20/1000,0)*1000</f>
        <v>3895000</v>
      </c>
      <c r="C18" s="91"/>
      <c r="D18" s="83">
        <v>222000</v>
      </c>
      <c r="E18" s="83"/>
      <c r="F18" s="83"/>
      <c r="G18" s="83">
        <v>0</v>
      </c>
      <c r="H18" s="83"/>
      <c r="I18" s="83"/>
      <c r="J18" s="83"/>
      <c r="K18" s="417">
        <v>1645000</v>
      </c>
      <c r="L18" s="417"/>
      <c r="M18" s="83"/>
      <c r="N18" s="83"/>
      <c r="O18" s="83"/>
      <c r="P18" s="391">
        <f>-'(D) Tuition Fee Revenue'!Q20</f>
        <v>-1767000</v>
      </c>
      <c r="Q18" s="393"/>
      <c r="R18" s="79">
        <f t="shared" si="0"/>
        <v>3995000</v>
      </c>
    </row>
    <row r="19" spans="1:18" ht="13.2" customHeight="1">
      <c r="A19" s="78" t="s">
        <v>11</v>
      </c>
      <c r="B19" s="78">
        <f>ROUND((9737)*'(D) Tuition Fee Revenue'!D21/1000,0)*1000</f>
        <v>5550000</v>
      </c>
      <c r="C19" s="91"/>
      <c r="D19" s="83">
        <v>903000</v>
      </c>
      <c r="E19" s="83"/>
      <c r="F19" s="83"/>
      <c r="G19" s="83">
        <v>0</v>
      </c>
      <c r="H19" s="83"/>
      <c r="I19" s="83"/>
      <c r="J19" s="83"/>
      <c r="K19" s="417">
        <v>7034300</v>
      </c>
      <c r="L19" s="417"/>
      <c r="M19" s="83"/>
      <c r="N19" s="83"/>
      <c r="O19" s="83"/>
      <c r="P19" s="391">
        <f>-'(D) Tuition Fee Revenue'!Q21</f>
        <v>-2975000</v>
      </c>
      <c r="Q19" s="393"/>
      <c r="R19" s="79">
        <f t="shared" si="0"/>
        <v>10512300</v>
      </c>
    </row>
    <row r="20" spans="1:18" ht="13.2" customHeight="1">
      <c r="A20" s="78" t="s">
        <v>12</v>
      </c>
      <c r="B20" s="78">
        <f>ROUND((9737)*'(D) Tuition Fee Revenue'!D22/1000,0)*1000</f>
        <v>3895000</v>
      </c>
      <c r="C20" s="91"/>
      <c r="D20" s="83">
        <v>604000</v>
      </c>
      <c r="E20" s="83"/>
      <c r="F20" s="83"/>
      <c r="G20" s="83">
        <v>0</v>
      </c>
      <c r="H20" s="83"/>
      <c r="I20" s="83"/>
      <c r="J20" s="83"/>
      <c r="K20" s="417">
        <v>4535300</v>
      </c>
      <c r="L20" s="417"/>
      <c r="M20" s="83"/>
      <c r="N20" s="83"/>
      <c r="O20" s="83"/>
      <c r="P20" s="391">
        <f>-'(D) Tuition Fee Revenue'!Q22</f>
        <v>-1966000</v>
      </c>
      <c r="Q20" s="393"/>
      <c r="R20" s="79">
        <f t="shared" si="0"/>
        <v>7068300</v>
      </c>
    </row>
    <row r="21" spans="1:18" ht="13.2" customHeight="1">
      <c r="A21" s="78" t="s">
        <v>13</v>
      </c>
      <c r="B21" s="78">
        <f>ROUND((9737)*'(D) Tuition Fee Revenue'!D23/1000,0)*1000</f>
        <v>1947000</v>
      </c>
      <c r="C21" s="91"/>
      <c r="D21" s="83">
        <v>678000</v>
      </c>
      <c r="E21" s="83"/>
      <c r="F21" s="83"/>
      <c r="G21" s="83">
        <v>0</v>
      </c>
      <c r="H21" s="83"/>
      <c r="I21" s="83"/>
      <c r="J21" s="83"/>
      <c r="K21" s="417">
        <v>4981900</v>
      </c>
      <c r="L21" s="417"/>
      <c r="M21" s="83"/>
      <c r="N21" s="91">
        <v>442000</v>
      </c>
      <c r="O21" s="345">
        <v>3</v>
      </c>
      <c r="P21" s="391">
        <f>-'(D) Tuition Fee Revenue'!Q23</f>
        <v>-1044000</v>
      </c>
      <c r="Q21" s="393"/>
      <c r="R21" s="79">
        <f t="shared" si="0"/>
        <v>7004900</v>
      </c>
    </row>
    <row r="22" spans="1:18" ht="13.2" customHeight="1">
      <c r="A22" s="78" t="s">
        <v>14</v>
      </c>
      <c r="B22" s="78">
        <f>ROUND((9737)*'(D) Tuition Fee Revenue'!D24/1000,0)*1000</f>
        <v>4869000</v>
      </c>
      <c r="C22" s="91"/>
      <c r="D22" s="83">
        <v>480000</v>
      </c>
      <c r="E22" s="83"/>
      <c r="F22" s="83"/>
      <c r="G22" s="83">
        <v>0</v>
      </c>
      <c r="H22" s="83"/>
      <c r="I22" s="83"/>
      <c r="J22" s="83"/>
      <c r="K22" s="417">
        <v>3665000</v>
      </c>
      <c r="L22" s="417"/>
      <c r="M22" s="83"/>
      <c r="N22" s="83"/>
      <c r="O22" s="83"/>
      <c r="P22" s="391">
        <f>-'(D) Tuition Fee Revenue'!Q24</f>
        <v>-2511000</v>
      </c>
      <c r="Q22" s="393"/>
      <c r="R22" s="79">
        <f t="shared" si="0"/>
        <v>6503000</v>
      </c>
    </row>
    <row r="23" spans="1:18" ht="13.2" customHeight="1">
      <c r="A23" s="78" t="s">
        <v>15</v>
      </c>
      <c r="B23" s="78">
        <f>ROUND((9737)*'(D) Tuition Fee Revenue'!D25/1000,0)*1000</f>
        <v>1704000</v>
      </c>
      <c r="C23" s="91"/>
      <c r="D23" s="83">
        <v>891000</v>
      </c>
      <c r="E23" s="83"/>
      <c r="F23" s="83"/>
      <c r="G23" s="83">
        <v>272000</v>
      </c>
      <c r="H23" s="83"/>
      <c r="I23" s="83"/>
      <c r="J23" s="83"/>
      <c r="K23" s="417">
        <v>6596600</v>
      </c>
      <c r="L23" s="417"/>
      <c r="M23" s="83"/>
      <c r="N23" s="83"/>
      <c r="O23" s="83"/>
      <c r="P23" s="391">
        <f>-'(D) Tuition Fee Revenue'!Q25</f>
        <v>-868000</v>
      </c>
      <c r="Q23" s="393"/>
      <c r="R23" s="79">
        <f t="shared" si="0"/>
        <v>8595600</v>
      </c>
    </row>
    <row r="24" spans="1:18" ht="13.2" customHeight="1">
      <c r="A24" s="78" t="s">
        <v>16</v>
      </c>
      <c r="B24" s="78">
        <f>ROUND((9737)*'(D) Tuition Fee Revenue'!D26/1000,0)*1000</f>
        <v>2697000</v>
      </c>
      <c r="C24" s="91"/>
      <c r="D24" s="83">
        <v>799000</v>
      </c>
      <c r="E24" s="83"/>
      <c r="F24" s="83"/>
      <c r="G24" s="83">
        <v>0</v>
      </c>
      <c r="H24" s="83"/>
      <c r="I24" s="83"/>
      <c r="J24" s="83"/>
      <c r="K24" s="417">
        <v>6217200</v>
      </c>
      <c r="L24" s="417"/>
      <c r="M24" s="83"/>
      <c r="N24" s="83"/>
      <c r="O24" s="83"/>
      <c r="P24" s="391">
        <f>-'(D) Tuition Fee Revenue'!Q26</f>
        <v>-1384000</v>
      </c>
      <c r="Q24" s="393"/>
      <c r="R24" s="79">
        <f t="shared" si="0"/>
        <v>8329200</v>
      </c>
    </row>
    <row r="25" spans="1:18" ht="13.2" customHeight="1">
      <c r="A25" s="78" t="s">
        <v>17</v>
      </c>
      <c r="B25" s="78">
        <f>ROUND((9737)*'(D) Tuition Fee Revenue'!D27/1000,0)*1000</f>
        <v>4382000</v>
      </c>
      <c r="C25" s="91"/>
      <c r="D25" s="83">
        <v>773000</v>
      </c>
      <c r="E25" s="83"/>
      <c r="F25" s="83"/>
      <c r="G25" s="83">
        <v>0</v>
      </c>
      <c r="H25" s="83"/>
      <c r="I25" s="83"/>
      <c r="J25" s="83"/>
      <c r="K25" s="417">
        <v>5878500</v>
      </c>
      <c r="L25" s="417"/>
      <c r="M25" s="83"/>
      <c r="N25" s="83"/>
      <c r="O25" s="83"/>
      <c r="P25" s="391">
        <f>-'(D) Tuition Fee Revenue'!Q27</f>
        <v>-2353000</v>
      </c>
      <c r="Q25" s="393"/>
      <c r="R25" s="79">
        <f t="shared" si="0"/>
        <v>8680500</v>
      </c>
    </row>
    <row r="26" spans="1:18" ht="13.2" customHeight="1">
      <c r="A26" s="78" t="s">
        <v>18</v>
      </c>
      <c r="B26" s="78">
        <f>ROUND((9737)*'(D) Tuition Fee Revenue'!D28/1000,0)*1000</f>
        <v>3165000</v>
      </c>
      <c r="C26" s="91"/>
      <c r="D26" s="83">
        <v>657000</v>
      </c>
      <c r="E26" s="83"/>
      <c r="F26" s="83"/>
      <c r="G26" s="83">
        <v>0</v>
      </c>
      <c r="H26" s="83"/>
      <c r="I26" s="83"/>
      <c r="J26" s="83"/>
      <c r="K26" s="417">
        <v>5259100</v>
      </c>
      <c r="L26" s="417"/>
      <c r="M26" s="83"/>
      <c r="N26" s="83"/>
      <c r="O26" s="83"/>
      <c r="P26" s="391">
        <f>-'(D) Tuition Fee Revenue'!Q28</f>
        <v>-1431000</v>
      </c>
      <c r="Q26" s="393"/>
      <c r="R26" s="79">
        <f t="shared" si="0"/>
        <v>7650100</v>
      </c>
    </row>
    <row r="27" spans="1:18" ht="13.2" customHeight="1">
      <c r="A27" s="78" t="s">
        <v>19</v>
      </c>
      <c r="B27" s="78">
        <f>ROUND((9737)*'(D) Tuition Fee Revenue'!D29/1000,0)*1000</f>
        <v>6329000</v>
      </c>
      <c r="C27" s="91"/>
      <c r="D27" s="83">
        <v>328000</v>
      </c>
      <c r="E27" s="83"/>
      <c r="F27" s="83"/>
      <c r="G27" s="83">
        <v>0</v>
      </c>
      <c r="H27" s="83"/>
      <c r="I27" s="83"/>
      <c r="J27" s="83"/>
      <c r="K27" s="417">
        <v>2289100</v>
      </c>
      <c r="L27" s="417"/>
      <c r="M27" s="83"/>
      <c r="N27" s="83"/>
      <c r="O27" s="83"/>
      <c r="P27" s="391">
        <f>-'(D) Tuition Fee Revenue'!Q29</f>
        <v>-3431000</v>
      </c>
      <c r="Q27" s="393"/>
      <c r="R27" s="79">
        <f t="shared" si="0"/>
        <v>5515100</v>
      </c>
    </row>
    <row r="28" spans="1:18" ht="13.2" customHeight="1">
      <c r="A28" s="78" t="s">
        <v>20</v>
      </c>
      <c r="B28" s="78">
        <f>ROUND((9737)*'(D) Tuition Fee Revenue'!D30/1000,0)*1000</f>
        <v>2629000</v>
      </c>
      <c r="C28" s="91"/>
      <c r="D28" s="83">
        <v>282000</v>
      </c>
      <c r="E28" s="83"/>
      <c r="F28" s="83"/>
      <c r="G28" s="83">
        <v>0</v>
      </c>
      <c r="H28" s="83"/>
      <c r="I28" s="83"/>
      <c r="J28" s="83"/>
      <c r="K28" s="417">
        <v>2020100</v>
      </c>
      <c r="L28" s="417"/>
      <c r="M28" s="83"/>
      <c r="N28" s="83"/>
      <c r="O28" s="83"/>
      <c r="P28" s="391">
        <f>-'(D) Tuition Fee Revenue'!Q30</f>
        <v>-1258000</v>
      </c>
      <c r="Q28" s="393"/>
      <c r="R28" s="79">
        <f t="shared" si="0"/>
        <v>3673100</v>
      </c>
    </row>
    <row r="29" spans="1:18" ht="13.2" customHeight="1">
      <c r="A29" s="78" t="s">
        <v>21</v>
      </c>
      <c r="B29" s="78">
        <f>ROUND((9737)*'(D) Tuition Fee Revenue'!D31/1000,0)*1000</f>
        <v>1947000</v>
      </c>
      <c r="C29" s="91"/>
      <c r="D29" s="83">
        <v>253000</v>
      </c>
      <c r="E29" s="83"/>
      <c r="F29" s="83"/>
      <c r="G29" s="83">
        <v>0</v>
      </c>
      <c r="H29" s="83"/>
      <c r="I29" s="83"/>
      <c r="J29" s="83"/>
      <c r="K29" s="417">
        <v>1802900</v>
      </c>
      <c r="L29" s="417"/>
      <c r="M29" s="83"/>
      <c r="N29" s="83"/>
      <c r="O29" s="83"/>
      <c r="P29" s="391">
        <f>-'(D) Tuition Fee Revenue'!Q31</f>
        <v>-1023000</v>
      </c>
      <c r="Q29" s="393"/>
      <c r="R29" s="79">
        <f t="shared" si="0"/>
        <v>2979900</v>
      </c>
    </row>
    <row r="30" spans="1:18" ht="6" customHeight="1">
      <c r="A30" s="78"/>
      <c r="B30" s="78"/>
      <c r="C30" s="83"/>
      <c r="D30" s="83"/>
      <c r="E30" s="83"/>
      <c r="F30" s="83"/>
      <c r="G30" s="83"/>
      <c r="H30" s="83"/>
      <c r="I30" s="83"/>
      <c r="J30" s="83"/>
      <c r="K30" s="83"/>
      <c r="L30" s="83"/>
      <c r="M30" s="83"/>
      <c r="N30" s="83"/>
      <c r="O30" s="83"/>
      <c r="P30" s="80"/>
      <c r="Q30" s="80"/>
      <c r="R30" s="80"/>
    </row>
    <row r="31" spans="1:18" ht="13.2" customHeight="1">
      <c r="A31" s="81" t="s">
        <v>22</v>
      </c>
      <c r="B31" s="118">
        <f>SUM(B7:B30)</f>
        <v>81198000</v>
      </c>
      <c r="C31" s="118"/>
      <c r="D31" s="121">
        <f>SUM(D7:D30)</f>
        <v>11906000</v>
      </c>
      <c r="E31" s="121"/>
      <c r="F31" s="118"/>
      <c r="G31" s="121">
        <f>SUM(G7:G30)</f>
        <v>1597000</v>
      </c>
      <c r="H31" s="121"/>
      <c r="I31" s="121"/>
      <c r="J31" s="118"/>
      <c r="K31" s="121">
        <f>SUM(K7:K30)</f>
        <v>89873300</v>
      </c>
      <c r="L31" s="121"/>
      <c r="M31" s="118"/>
      <c r="N31" s="121">
        <f>SUM(N7:N30)</f>
        <v>442000</v>
      </c>
      <c r="O31" s="121"/>
      <c r="P31" s="82">
        <f>SUM(P7:P30)</f>
        <v>-41631000</v>
      </c>
      <c r="Q31" s="82"/>
      <c r="R31" s="82">
        <f>SUM(R7:R30)</f>
        <v>143385300</v>
      </c>
    </row>
    <row r="32" spans="1:18" ht="6" customHeight="1">
      <c r="A32" s="78"/>
      <c r="B32" s="78"/>
      <c r="C32" s="83"/>
      <c r="D32" s="83"/>
      <c r="E32" s="83"/>
      <c r="F32" s="83"/>
      <c r="G32" s="83"/>
      <c r="H32" s="83"/>
      <c r="I32" s="83"/>
      <c r="J32" s="83"/>
      <c r="K32" s="83"/>
      <c r="L32" s="83"/>
      <c r="M32" s="83"/>
      <c r="N32" s="83"/>
      <c r="O32" s="83"/>
      <c r="P32" s="80"/>
      <c r="Q32" s="80"/>
      <c r="R32" s="80"/>
    </row>
    <row r="33" spans="1:19" ht="13.2" customHeight="1">
      <c r="A33" s="119" t="s">
        <v>23</v>
      </c>
      <c r="B33" s="78">
        <f>ROUND(9737*'(D) Tuition Fee Revenue'!D35/1000,0)*1000</f>
        <v>0</v>
      </c>
      <c r="C33" s="83"/>
      <c r="D33" s="83">
        <v>160000</v>
      </c>
      <c r="E33" s="83"/>
      <c r="F33" s="83"/>
      <c r="G33" s="83">
        <f>C33-'(D) Tuition Fee Revenue'!R35</f>
        <v>0</v>
      </c>
      <c r="H33" s="83"/>
      <c r="I33" s="83"/>
      <c r="J33" s="83"/>
      <c r="K33" s="83">
        <v>1731700</v>
      </c>
      <c r="L33" s="83"/>
      <c r="M33" s="83"/>
      <c r="N33" s="83"/>
      <c r="O33" s="83"/>
      <c r="P33" s="391">
        <f>-'(D) Tuition Fee Revenue'!J35-'(D) Tuition Fee Revenue'!Q35</f>
        <v>0</v>
      </c>
      <c r="Q33" s="79"/>
      <c r="R33" s="79">
        <f>B33+D33+G33+K33+N33+P33</f>
        <v>1891700</v>
      </c>
    </row>
    <row r="34" spans="1:19" ht="13.2" customHeight="1">
      <c r="A34" s="119" t="s">
        <v>29</v>
      </c>
      <c r="B34" s="78">
        <f>ROUND(9737*'(D) Tuition Fee Revenue'!D36/1000,0)*1000</f>
        <v>0</v>
      </c>
      <c r="C34" s="83"/>
      <c r="D34" s="83">
        <v>0</v>
      </c>
      <c r="E34" s="83"/>
      <c r="F34" s="83"/>
      <c r="G34" s="83">
        <f>C34-'(D) Tuition Fee Revenue'!R36</f>
        <v>0</v>
      </c>
      <c r="H34" s="83"/>
      <c r="I34" s="83"/>
      <c r="J34" s="83"/>
      <c r="K34" s="83">
        <v>0</v>
      </c>
      <c r="L34" s="83"/>
      <c r="M34" s="83"/>
      <c r="N34" s="83"/>
      <c r="O34" s="83"/>
      <c r="P34" s="391">
        <v>0</v>
      </c>
      <c r="Q34" s="79"/>
      <c r="R34" s="79">
        <f>B34+D34+G34+K34+N34+P34</f>
        <v>0</v>
      </c>
    </row>
    <row r="35" spans="1:19" ht="13.2" customHeight="1">
      <c r="A35" s="119" t="s">
        <v>24</v>
      </c>
      <c r="B35" s="78">
        <f>ROUND(9737*'(D) Tuition Fee Revenue'!D37/1000,0)*1000</f>
        <v>0</v>
      </c>
      <c r="C35" s="83"/>
      <c r="D35" s="83">
        <v>0</v>
      </c>
      <c r="E35" s="83"/>
      <c r="F35" s="83"/>
      <c r="G35" s="83">
        <f>C35-'(D) Tuition Fee Revenue'!R37</f>
        <v>0</v>
      </c>
      <c r="H35" s="83"/>
      <c r="I35" s="83"/>
      <c r="J35" s="83"/>
      <c r="K35" s="83">
        <v>0</v>
      </c>
      <c r="L35" s="83"/>
      <c r="M35" s="83"/>
      <c r="N35" s="83"/>
      <c r="O35" s="83"/>
      <c r="P35" s="391">
        <v>0</v>
      </c>
      <c r="Q35" s="79"/>
      <c r="R35" s="79">
        <f>B35+D35+G35+K35+N35+P35</f>
        <v>0</v>
      </c>
    </row>
    <row r="36" spans="1:19" ht="13.2" customHeight="1">
      <c r="A36" s="119" t="s">
        <v>25</v>
      </c>
      <c r="B36" s="78">
        <f>ROUND(9737*'(D) Tuition Fee Revenue'!D38/1000,0)*1000</f>
        <v>0</v>
      </c>
      <c r="C36" s="83"/>
      <c r="D36" s="83">
        <v>0</v>
      </c>
      <c r="E36" s="83"/>
      <c r="F36" s="83"/>
      <c r="G36" s="83">
        <f>C36-'(D) Tuition Fee Revenue'!R38</f>
        <v>0</v>
      </c>
      <c r="H36" s="83"/>
      <c r="I36" s="83"/>
      <c r="J36" s="83"/>
      <c r="K36" s="83">
        <v>0</v>
      </c>
      <c r="L36" s="83"/>
      <c r="M36" s="83"/>
      <c r="N36" s="83"/>
      <c r="O36" s="83"/>
      <c r="P36" s="391">
        <v>0</v>
      </c>
      <c r="Q36" s="79"/>
      <c r="R36" s="79">
        <f>B36+D36+G36+K36+N36+P36</f>
        <v>0</v>
      </c>
    </row>
    <row r="37" spans="1:19" ht="13.2" customHeight="1">
      <c r="A37" s="418" t="s">
        <v>26</v>
      </c>
      <c r="B37" s="78">
        <f>ROUND(9737*'(D) Tuition Fee Revenue'!D39/1000,0)*1000</f>
        <v>0</v>
      </c>
      <c r="C37" s="83"/>
      <c r="D37" s="83">
        <v>0</v>
      </c>
      <c r="E37" s="83"/>
      <c r="F37" s="83"/>
      <c r="G37" s="83">
        <v>10000000</v>
      </c>
      <c r="H37" s="83"/>
      <c r="I37" s="83"/>
      <c r="J37" s="83"/>
      <c r="K37" s="83">
        <v>1000000</v>
      </c>
      <c r="L37" s="83"/>
      <c r="N37" s="83">
        <f>618000+22000+10282000-'(B) Base Bud Adj'!AT38</f>
        <v>-13613000</v>
      </c>
      <c r="O37" s="345">
        <v>4</v>
      </c>
      <c r="P37" s="391">
        <f>-'(D) Tuition Fee Revenue'!J39-'(D) Tuition Fee Revenue'!Q39</f>
        <v>0</v>
      </c>
      <c r="Q37" s="188"/>
      <c r="R37" s="79">
        <f>B37+D37+G37+K37+N37+P37</f>
        <v>-2613000</v>
      </c>
    </row>
    <row r="38" spans="1:19" ht="5.4" customHeight="1">
      <c r="A38" s="418"/>
      <c r="B38" s="78"/>
      <c r="C38" s="83"/>
      <c r="D38" s="83"/>
      <c r="E38" s="83"/>
      <c r="F38" s="83"/>
      <c r="G38" s="83"/>
      <c r="H38" s="83"/>
      <c r="I38" s="83"/>
      <c r="J38" s="83"/>
      <c r="K38" s="83"/>
      <c r="L38" s="83"/>
      <c r="M38" s="83"/>
      <c r="N38" s="83"/>
      <c r="O38" s="83"/>
      <c r="P38" s="79"/>
      <c r="Q38" s="79"/>
      <c r="R38" s="79"/>
    </row>
    <row r="39" spans="1:19" ht="9" customHeight="1">
      <c r="A39" s="83"/>
      <c r="B39" s="92"/>
      <c r="C39" s="83"/>
      <c r="D39" s="83"/>
      <c r="E39" s="83"/>
      <c r="F39" s="83"/>
      <c r="G39" s="83"/>
      <c r="H39" s="83"/>
      <c r="I39" s="83"/>
      <c r="J39" s="83"/>
      <c r="K39" s="83"/>
      <c r="L39" s="83"/>
      <c r="M39" s="83"/>
      <c r="N39" s="83"/>
      <c r="O39" s="83"/>
      <c r="P39" s="80"/>
      <c r="Q39" s="80"/>
      <c r="R39" s="80"/>
    </row>
    <row r="40" spans="1:19" ht="16.2" customHeight="1" thickBot="1">
      <c r="A40" s="84" t="s">
        <v>27</v>
      </c>
      <c r="B40" s="339">
        <f>SUM(B31:B37)</f>
        <v>81198000</v>
      </c>
      <c r="C40" s="340"/>
      <c r="D40" s="341">
        <f>SUM(D31:D37)</f>
        <v>12066000</v>
      </c>
      <c r="E40" s="341"/>
      <c r="F40" s="340"/>
      <c r="G40" s="341">
        <f>SUM(G31:G37)</f>
        <v>11597000</v>
      </c>
      <c r="H40" s="341"/>
      <c r="I40" s="341"/>
      <c r="J40" s="340"/>
      <c r="K40" s="341">
        <f>SUM(K31:K37)</f>
        <v>92605000</v>
      </c>
      <c r="L40" s="341"/>
      <c r="M40" s="340"/>
      <c r="N40" s="341">
        <f>SUM(N31:N37)</f>
        <v>-13171000</v>
      </c>
      <c r="O40" s="341"/>
      <c r="P40" s="284">
        <f>SUM(P31:P37)</f>
        <v>-41631000</v>
      </c>
      <c r="Q40" s="284"/>
      <c r="R40" s="284">
        <f>SUM(R31:R37)</f>
        <v>142664000</v>
      </c>
    </row>
    <row r="41" spans="1:19">
      <c r="A41" s="78"/>
      <c r="B41" s="78"/>
      <c r="C41" s="83"/>
      <c r="D41" s="83"/>
      <c r="E41" s="83"/>
      <c r="G41" s="83"/>
      <c r="H41" s="83"/>
      <c r="I41" s="83"/>
      <c r="J41" s="83"/>
      <c r="K41" s="83"/>
      <c r="L41" s="83"/>
      <c r="M41" s="83"/>
      <c r="N41" s="83"/>
      <c r="O41" s="83"/>
      <c r="P41" s="85"/>
      <c r="Q41" s="85"/>
      <c r="R41" s="80"/>
      <c r="S41" s="83"/>
    </row>
    <row r="42" spans="1:19">
      <c r="A42" s="283" t="s">
        <v>147</v>
      </c>
      <c r="B42" s="78"/>
      <c r="C42" s="83"/>
      <c r="D42" s="83"/>
      <c r="E42" s="83"/>
      <c r="G42" s="83"/>
      <c r="H42" s="83"/>
      <c r="I42" s="83"/>
      <c r="J42" s="83"/>
      <c r="K42" s="83"/>
      <c r="L42" s="83"/>
      <c r="M42" s="83"/>
      <c r="N42" s="83"/>
      <c r="O42" s="83"/>
      <c r="P42" s="85"/>
      <c r="Q42" s="85"/>
      <c r="R42" s="80"/>
      <c r="S42" s="83"/>
    </row>
    <row r="43" spans="1:19">
      <c r="A43" s="283" t="s">
        <v>172</v>
      </c>
      <c r="B43" s="78"/>
      <c r="C43" s="83"/>
      <c r="D43" s="83"/>
      <c r="E43" s="83"/>
      <c r="F43" s="83"/>
      <c r="G43" s="83"/>
      <c r="H43" s="83"/>
      <c r="I43" s="83"/>
      <c r="J43" s="83"/>
      <c r="K43" s="83"/>
      <c r="L43" s="83"/>
      <c r="M43" s="83"/>
      <c r="N43" s="83"/>
      <c r="O43" s="83"/>
      <c r="P43" s="85"/>
      <c r="Q43" s="85"/>
      <c r="S43" s="67"/>
    </row>
    <row r="44" spans="1:19" ht="15.6" customHeight="1">
      <c r="A44" s="283" t="s">
        <v>150</v>
      </c>
      <c r="B44" s="283"/>
      <c r="C44" s="283"/>
      <c r="D44" s="283"/>
      <c r="E44" s="283"/>
      <c r="F44" s="283"/>
      <c r="G44" s="283"/>
      <c r="H44" s="283"/>
      <c r="I44" s="283"/>
      <c r="J44" s="283"/>
      <c r="K44" s="283"/>
      <c r="L44" s="283"/>
      <c r="M44" s="283"/>
      <c r="N44" s="283"/>
      <c r="O44" s="283"/>
      <c r="P44" s="283"/>
      <c r="Q44" s="283"/>
      <c r="R44" s="172"/>
      <c r="S44" s="172"/>
    </row>
    <row r="45" spans="1:19">
      <c r="A45" s="423" t="s">
        <v>176</v>
      </c>
      <c r="B45" s="423"/>
      <c r="C45" s="423"/>
      <c r="D45" s="423"/>
      <c r="E45" s="423"/>
      <c r="F45" s="423"/>
      <c r="G45" s="423"/>
      <c r="H45" s="423"/>
      <c r="I45" s="423"/>
      <c r="J45" s="423"/>
      <c r="K45" s="423"/>
      <c r="L45" s="423"/>
      <c r="M45" s="423"/>
      <c r="N45" s="423"/>
      <c r="O45" s="423"/>
      <c r="P45" s="423"/>
      <c r="Q45" s="423"/>
      <c r="R45" s="423"/>
      <c r="S45" s="83"/>
    </row>
    <row r="46" spans="1:19">
      <c r="P46" s="73"/>
      <c r="Q46" s="73"/>
      <c r="R46" s="79"/>
      <c r="S46" s="67"/>
    </row>
    <row r="47" spans="1:19">
      <c r="P47" s="73"/>
      <c r="Q47" s="73"/>
      <c r="R47" s="75"/>
    </row>
    <row r="48" spans="1:19">
      <c r="P48" s="73"/>
      <c r="Q48" s="73"/>
      <c r="R48" s="172"/>
      <c r="S48" s="83"/>
    </row>
    <row r="49" spans="1:19">
      <c r="P49" s="73"/>
      <c r="Q49" s="73"/>
      <c r="R49" s="172"/>
      <c r="S49" s="83"/>
    </row>
    <row r="50" spans="1:19">
      <c r="A50" s="67"/>
      <c r="B50" s="67"/>
      <c r="R50" s="83"/>
      <c r="S50" s="83"/>
    </row>
    <row r="51" spans="1:19">
      <c r="A51" s="67"/>
      <c r="B51" s="67"/>
      <c r="R51" s="419"/>
    </row>
    <row r="52" spans="1:19">
      <c r="A52" s="67"/>
      <c r="B52" s="67"/>
      <c r="R52" s="83"/>
    </row>
    <row r="53" spans="1:19">
      <c r="A53" s="67"/>
      <c r="B53" s="67"/>
    </row>
    <row r="54" spans="1:19">
      <c r="A54" s="67"/>
      <c r="B54" s="67"/>
    </row>
    <row r="55" spans="1:19">
      <c r="A55" s="74"/>
      <c r="B55" s="74"/>
      <c r="C55" s="74"/>
      <c r="D55" s="74"/>
      <c r="E55" s="74"/>
      <c r="F55" s="74"/>
      <c r="G55" s="74"/>
      <c r="H55" s="74"/>
      <c r="I55" s="74"/>
      <c r="J55" s="74"/>
      <c r="K55" s="74"/>
      <c r="L55" s="74"/>
      <c r="M55" s="74"/>
      <c r="N55" s="74"/>
      <c r="O55" s="74"/>
    </row>
    <row r="56" spans="1:19">
      <c r="A56" s="67"/>
      <c r="B56" s="67"/>
    </row>
    <row r="57" spans="1:19">
      <c r="A57" s="67"/>
      <c r="B57" s="67"/>
    </row>
    <row r="58" spans="1:19">
      <c r="A58" s="67"/>
      <c r="B58" s="67"/>
    </row>
    <row r="59" spans="1:19">
      <c r="A59" s="67"/>
      <c r="B59" s="67"/>
    </row>
    <row r="60" spans="1:19">
      <c r="A60" s="67"/>
      <c r="B60" s="67"/>
    </row>
    <row r="61" spans="1:19">
      <c r="A61" s="67"/>
      <c r="B61" s="67"/>
    </row>
    <row r="62" spans="1:19">
      <c r="A62" s="67"/>
      <c r="B62" s="67"/>
    </row>
    <row r="63" spans="1:19">
      <c r="A63" s="74"/>
      <c r="B63" s="74"/>
      <c r="C63" s="74"/>
      <c r="D63" s="74"/>
      <c r="E63" s="74"/>
      <c r="F63" s="74"/>
      <c r="G63" s="74"/>
      <c r="H63" s="74"/>
      <c r="I63" s="74"/>
      <c r="J63" s="74"/>
      <c r="K63" s="74"/>
      <c r="L63" s="74"/>
      <c r="M63" s="74"/>
      <c r="N63" s="74"/>
      <c r="O63" s="74"/>
    </row>
    <row r="64" spans="1:19">
      <c r="A64" s="67"/>
      <c r="B64" s="67"/>
    </row>
    <row r="65" spans="1:2">
      <c r="A65" s="67"/>
      <c r="B65" s="67"/>
    </row>
    <row r="66" spans="1:2">
      <c r="A66" s="67"/>
      <c r="B66" s="67"/>
    </row>
    <row r="67" spans="1:2">
      <c r="A67" s="67"/>
      <c r="B67" s="67"/>
    </row>
    <row r="68" spans="1:2">
      <c r="A68" s="67"/>
      <c r="B68" s="67"/>
    </row>
    <row r="69" spans="1:2">
      <c r="A69" s="67"/>
      <c r="B69" s="67"/>
    </row>
  </sheetData>
  <mergeCells count="2">
    <mergeCell ref="A45:R45"/>
    <mergeCell ref="F4:H4"/>
  </mergeCells>
  <printOptions horizontalCentered="1"/>
  <pageMargins left="0.75" right="0.25" top="0.5" bottom="0.25" header="0.5" footer="0.5"/>
  <pageSetup paperSize="5"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1"/>
  <sheetViews>
    <sheetView zoomScaleNormal="100" workbookViewId="0">
      <pane xSplit="1" ySplit="8" topLeftCell="B9" activePane="bottomRight" state="frozen"/>
      <selection activeCell="P9" sqref="P9"/>
      <selection pane="topRight" activeCell="P9" sqref="P9"/>
      <selection pane="bottomLeft" activeCell="P9" sqref="P9"/>
      <selection pane="bottomRight" activeCell="A8" sqref="A8"/>
    </sheetView>
  </sheetViews>
  <sheetFormatPr defaultRowHeight="13.8"/>
  <cols>
    <col min="1" max="1" width="23.77734375" style="49" customWidth="1"/>
    <col min="2" max="2" width="10.77734375" style="49" customWidth="1"/>
    <col min="3" max="3" width="8.44140625" style="49" customWidth="1"/>
    <col min="4" max="4" width="10.33203125" style="49" bestFit="1" customWidth="1"/>
    <col min="5" max="5" width="10.6640625" style="49" bestFit="1" customWidth="1"/>
    <col min="6" max="6" width="10.77734375" style="49" customWidth="1"/>
    <col min="7" max="7" width="11.77734375" style="49" customWidth="1"/>
    <col min="8" max="10" width="12.77734375" style="49" customWidth="1"/>
    <col min="11" max="11" width="3.77734375" style="49" customWidth="1"/>
    <col min="12" max="12" width="12.77734375" style="49" customWidth="1"/>
    <col min="13" max="13" width="3.77734375" style="49" customWidth="1"/>
    <col min="14" max="14" width="14.77734375" style="49" customWidth="1"/>
    <col min="15" max="15" width="1" style="49" customWidth="1"/>
    <col min="16" max="16" width="3.77734375" style="49" customWidth="1"/>
    <col min="17" max="17" width="12.77734375" style="49" customWidth="1"/>
    <col min="18" max="18" width="3.77734375" style="49" customWidth="1"/>
    <col min="19" max="19" width="1" style="49" customWidth="1"/>
    <col min="20" max="20" width="12.77734375" style="49" customWidth="1"/>
    <col min="21" max="21" width="8.77734375" style="49"/>
    <col min="22" max="22" width="11.6640625" style="49" customWidth="1"/>
    <col min="23" max="226" width="8.77734375" style="49"/>
    <col min="227" max="227" width="24.109375" style="49" customWidth="1"/>
    <col min="228" max="230" width="16.44140625" style="49" customWidth="1"/>
    <col min="231" max="231" width="18" style="49" customWidth="1"/>
    <col min="232" max="232" width="16.44140625" style="49" customWidth="1"/>
    <col min="233" max="233" width="4" style="49" customWidth="1"/>
    <col min="234" max="236" width="9.33203125" style="49" customWidth="1"/>
    <col min="237" max="237" width="22.44140625" style="49" customWidth="1"/>
    <col min="238" max="238" width="3.77734375" style="49" customWidth="1"/>
    <col min="239" max="239" width="16.44140625" style="49" customWidth="1"/>
    <col min="240" max="240" width="17.33203125" style="49" customWidth="1"/>
    <col min="241" max="244" width="16.44140625" style="49" customWidth="1"/>
    <col min="245" max="246" width="9.33203125" style="49" customWidth="1"/>
    <col min="247" max="247" width="18.77734375" style="49" customWidth="1"/>
    <col min="248" max="248" width="16.44140625" style="49" customWidth="1"/>
    <col min="249" max="249" width="17.77734375" style="49" customWidth="1"/>
    <col min="250" max="252" width="16.44140625" style="49" customWidth="1"/>
    <col min="253" max="253" width="17.77734375" style="49" bestFit="1" customWidth="1"/>
    <col min="254" max="254" width="16.44140625" style="49" customWidth="1"/>
    <col min="255" max="255" width="21" style="49" customWidth="1"/>
    <col min="256" max="256" width="16.44140625" style="49" customWidth="1"/>
    <col min="257" max="257" width="18.33203125" style="49" bestFit="1" customWidth="1"/>
    <col min="258" max="258" width="19.109375" style="49" customWidth="1"/>
    <col min="259" max="260" width="18.33203125" style="49" customWidth="1"/>
    <col min="261" max="261" width="8.77734375" style="49"/>
    <col min="262" max="263" width="16.77734375" style="49" customWidth="1"/>
    <col min="264" max="265" width="11.6640625" style="49" customWidth="1"/>
    <col min="266" max="266" width="8.77734375" style="49"/>
    <col min="267" max="267" width="18.33203125" style="49" customWidth="1"/>
    <col min="268" max="268" width="16.44140625" style="49" customWidth="1"/>
    <col min="269" max="269" width="9.44140625" style="49" bestFit="1" customWidth="1"/>
    <col min="270" max="270" width="17.6640625" style="49" customWidth="1"/>
    <col min="271" max="271" width="14.77734375" style="49" bestFit="1" customWidth="1"/>
    <col min="272" max="482" width="8.77734375" style="49"/>
    <col min="483" max="483" width="24.109375" style="49" customWidth="1"/>
    <col min="484" max="486" width="16.44140625" style="49" customWidth="1"/>
    <col min="487" max="487" width="18" style="49" customWidth="1"/>
    <col min="488" max="488" width="16.44140625" style="49" customWidth="1"/>
    <col min="489" max="489" width="4" style="49" customWidth="1"/>
    <col min="490" max="492" width="9.33203125" style="49" customWidth="1"/>
    <col min="493" max="493" width="22.44140625" style="49" customWidth="1"/>
    <col min="494" max="494" width="3.77734375" style="49" customWidth="1"/>
    <col min="495" max="495" width="16.44140625" style="49" customWidth="1"/>
    <col min="496" max="496" width="17.33203125" style="49" customWidth="1"/>
    <col min="497" max="500" width="16.44140625" style="49" customWidth="1"/>
    <col min="501" max="502" width="9.33203125" style="49" customWidth="1"/>
    <col min="503" max="503" width="18.77734375" style="49" customWidth="1"/>
    <col min="504" max="504" width="16.44140625" style="49" customWidth="1"/>
    <col min="505" max="505" width="17.77734375" style="49" customWidth="1"/>
    <col min="506" max="508" width="16.44140625" style="49" customWidth="1"/>
    <col min="509" max="509" width="17.77734375" style="49" bestFit="1" customWidth="1"/>
    <col min="510" max="510" width="16.44140625" style="49" customWidth="1"/>
    <col min="511" max="511" width="21" style="49" customWidth="1"/>
    <col min="512" max="512" width="16.44140625" style="49" customWidth="1"/>
    <col min="513" max="513" width="18.33203125" style="49" bestFit="1" customWidth="1"/>
    <col min="514" max="514" width="19.109375" style="49" customWidth="1"/>
    <col min="515" max="516" width="18.33203125" style="49" customWidth="1"/>
    <col min="517" max="517" width="8.77734375" style="49"/>
    <col min="518" max="519" width="16.77734375" style="49" customWidth="1"/>
    <col min="520" max="521" width="11.6640625" style="49" customWidth="1"/>
    <col min="522" max="522" width="8.77734375" style="49"/>
    <col min="523" max="523" width="18.33203125" style="49" customWidth="1"/>
    <col min="524" max="524" width="16.44140625" style="49" customWidth="1"/>
    <col min="525" max="525" width="9.44140625" style="49" bestFit="1" customWidth="1"/>
    <col min="526" max="526" width="17.6640625" style="49" customWidth="1"/>
    <col min="527" max="527" width="14.77734375" style="49" bestFit="1" customWidth="1"/>
    <col min="528" max="738" width="8.77734375" style="49"/>
    <col min="739" max="739" width="24.109375" style="49" customWidth="1"/>
    <col min="740" max="742" width="16.44140625" style="49" customWidth="1"/>
    <col min="743" max="743" width="18" style="49" customWidth="1"/>
    <col min="744" max="744" width="16.44140625" style="49" customWidth="1"/>
    <col min="745" max="745" width="4" style="49" customWidth="1"/>
    <col min="746" max="748" width="9.33203125" style="49" customWidth="1"/>
    <col min="749" max="749" width="22.44140625" style="49" customWidth="1"/>
    <col min="750" max="750" width="3.77734375" style="49" customWidth="1"/>
    <col min="751" max="751" width="16.44140625" style="49" customWidth="1"/>
    <col min="752" max="752" width="17.33203125" style="49" customWidth="1"/>
    <col min="753" max="756" width="16.44140625" style="49" customWidth="1"/>
    <col min="757" max="758" width="9.33203125" style="49" customWidth="1"/>
    <col min="759" max="759" width="18.77734375" style="49" customWidth="1"/>
    <col min="760" max="760" width="16.44140625" style="49" customWidth="1"/>
    <col min="761" max="761" width="17.77734375" style="49" customWidth="1"/>
    <col min="762" max="764" width="16.44140625" style="49" customWidth="1"/>
    <col min="765" max="765" width="17.77734375" style="49" bestFit="1" customWidth="1"/>
    <col min="766" max="766" width="16.44140625" style="49" customWidth="1"/>
    <col min="767" max="767" width="21" style="49" customWidth="1"/>
    <col min="768" max="768" width="16.44140625" style="49" customWidth="1"/>
    <col min="769" max="769" width="18.33203125" style="49" bestFit="1" customWidth="1"/>
    <col min="770" max="770" width="19.109375" style="49" customWidth="1"/>
    <col min="771" max="772" width="18.33203125" style="49" customWidth="1"/>
    <col min="773" max="773" width="8.77734375" style="49"/>
    <col min="774" max="775" width="16.77734375" style="49" customWidth="1"/>
    <col min="776" max="777" width="11.6640625" style="49" customWidth="1"/>
    <col min="778" max="778" width="8.77734375" style="49"/>
    <col min="779" max="779" width="18.33203125" style="49" customWidth="1"/>
    <col min="780" max="780" width="16.44140625" style="49" customWidth="1"/>
    <col min="781" max="781" width="9.44140625" style="49" bestFit="1" customWidth="1"/>
    <col min="782" max="782" width="17.6640625" style="49" customWidth="1"/>
    <col min="783" max="783" width="14.77734375" style="49" bestFit="1" customWidth="1"/>
    <col min="784" max="994" width="8.77734375" style="49"/>
    <col min="995" max="995" width="24.109375" style="49" customWidth="1"/>
    <col min="996" max="998" width="16.44140625" style="49" customWidth="1"/>
    <col min="999" max="999" width="18" style="49" customWidth="1"/>
    <col min="1000" max="1000" width="16.44140625" style="49" customWidth="1"/>
    <col min="1001" max="1001" width="4" style="49" customWidth="1"/>
    <col min="1002" max="1004" width="9.33203125" style="49" customWidth="1"/>
    <col min="1005" max="1005" width="22.44140625" style="49" customWidth="1"/>
    <col min="1006" max="1006" width="3.77734375" style="49" customWidth="1"/>
    <col min="1007" max="1007" width="16.44140625" style="49" customWidth="1"/>
    <col min="1008" max="1008" width="17.33203125" style="49" customWidth="1"/>
    <col min="1009" max="1012" width="16.44140625" style="49" customWidth="1"/>
    <col min="1013" max="1014" width="9.33203125" style="49" customWidth="1"/>
    <col min="1015" max="1015" width="18.77734375" style="49" customWidth="1"/>
    <col min="1016" max="1016" width="16.44140625" style="49" customWidth="1"/>
    <col min="1017" max="1017" width="17.77734375" style="49" customWidth="1"/>
    <col min="1018" max="1020" width="16.44140625" style="49" customWidth="1"/>
    <col min="1021" max="1021" width="17.77734375" style="49" bestFit="1" customWidth="1"/>
    <col min="1022" max="1022" width="16.44140625" style="49" customWidth="1"/>
    <col min="1023" max="1023" width="21" style="49" customWidth="1"/>
    <col min="1024" max="1024" width="16.44140625" style="49" customWidth="1"/>
    <col min="1025" max="1025" width="18.33203125" style="49" bestFit="1" customWidth="1"/>
    <col min="1026" max="1026" width="19.109375" style="49" customWidth="1"/>
    <col min="1027" max="1028" width="18.33203125" style="49" customWidth="1"/>
    <col min="1029" max="1029" width="8.77734375" style="49"/>
    <col min="1030" max="1031" width="16.77734375" style="49" customWidth="1"/>
    <col min="1032" max="1033" width="11.6640625" style="49" customWidth="1"/>
    <col min="1034" max="1034" width="8.77734375" style="49"/>
    <col min="1035" max="1035" width="18.33203125" style="49" customWidth="1"/>
    <col min="1036" max="1036" width="16.44140625" style="49" customWidth="1"/>
    <col min="1037" max="1037" width="9.44140625" style="49" bestFit="1" customWidth="1"/>
    <col min="1038" max="1038" width="17.6640625" style="49" customWidth="1"/>
    <col min="1039" max="1039" width="14.77734375" style="49" bestFit="1" customWidth="1"/>
    <col min="1040" max="1250" width="8.77734375" style="49"/>
    <col min="1251" max="1251" width="24.109375" style="49" customWidth="1"/>
    <col min="1252" max="1254" width="16.44140625" style="49" customWidth="1"/>
    <col min="1255" max="1255" width="18" style="49" customWidth="1"/>
    <col min="1256" max="1256" width="16.44140625" style="49" customWidth="1"/>
    <col min="1257" max="1257" width="4" style="49" customWidth="1"/>
    <col min="1258" max="1260" width="9.33203125" style="49" customWidth="1"/>
    <col min="1261" max="1261" width="22.44140625" style="49" customWidth="1"/>
    <col min="1262" max="1262" width="3.77734375" style="49" customWidth="1"/>
    <col min="1263" max="1263" width="16.44140625" style="49" customWidth="1"/>
    <col min="1264" max="1264" width="17.33203125" style="49" customWidth="1"/>
    <col min="1265" max="1268" width="16.44140625" style="49" customWidth="1"/>
    <col min="1269" max="1270" width="9.33203125" style="49" customWidth="1"/>
    <col min="1271" max="1271" width="18.77734375" style="49" customWidth="1"/>
    <col min="1272" max="1272" width="16.44140625" style="49" customWidth="1"/>
    <col min="1273" max="1273" width="17.77734375" style="49" customWidth="1"/>
    <col min="1274" max="1276" width="16.44140625" style="49" customWidth="1"/>
    <col min="1277" max="1277" width="17.77734375" style="49" bestFit="1" customWidth="1"/>
    <col min="1278" max="1278" width="16.44140625" style="49" customWidth="1"/>
    <col min="1279" max="1279" width="21" style="49" customWidth="1"/>
    <col min="1280" max="1280" width="16.44140625" style="49" customWidth="1"/>
    <col min="1281" max="1281" width="18.33203125" style="49" bestFit="1" customWidth="1"/>
    <col min="1282" max="1282" width="19.109375" style="49" customWidth="1"/>
    <col min="1283" max="1284" width="18.33203125" style="49" customWidth="1"/>
    <col min="1285" max="1285" width="8.77734375" style="49"/>
    <col min="1286" max="1287" width="16.77734375" style="49" customWidth="1"/>
    <col min="1288" max="1289" width="11.6640625" style="49" customWidth="1"/>
    <col min="1290" max="1290" width="8.77734375" style="49"/>
    <col min="1291" max="1291" width="18.33203125" style="49" customWidth="1"/>
    <col min="1292" max="1292" width="16.44140625" style="49" customWidth="1"/>
    <col min="1293" max="1293" width="9.44140625" style="49" bestFit="1" customWidth="1"/>
    <col min="1294" max="1294" width="17.6640625" style="49" customWidth="1"/>
    <col min="1295" max="1295" width="14.77734375" style="49" bestFit="1" customWidth="1"/>
    <col min="1296" max="1506" width="8.77734375" style="49"/>
    <col min="1507" max="1507" width="24.109375" style="49" customWidth="1"/>
    <col min="1508" max="1510" width="16.44140625" style="49" customWidth="1"/>
    <col min="1511" max="1511" width="18" style="49" customWidth="1"/>
    <col min="1512" max="1512" width="16.44140625" style="49" customWidth="1"/>
    <col min="1513" max="1513" width="4" style="49" customWidth="1"/>
    <col min="1514" max="1516" width="9.33203125" style="49" customWidth="1"/>
    <col min="1517" max="1517" width="22.44140625" style="49" customWidth="1"/>
    <col min="1518" max="1518" width="3.77734375" style="49" customWidth="1"/>
    <col min="1519" max="1519" width="16.44140625" style="49" customWidth="1"/>
    <col min="1520" max="1520" width="17.33203125" style="49" customWidth="1"/>
    <col min="1521" max="1524" width="16.44140625" style="49" customWidth="1"/>
    <col min="1525" max="1526" width="9.33203125" style="49" customWidth="1"/>
    <col min="1527" max="1527" width="18.77734375" style="49" customWidth="1"/>
    <col min="1528" max="1528" width="16.44140625" style="49" customWidth="1"/>
    <col min="1529" max="1529" width="17.77734375" style="49" customWidth="1"/>
    <col min="1530" max="1532" width="16.44140625" style="49" customWidth="1"/>
    <col min="1533" max="1533" width="17.77734375" style="49" bestFit="1" customWidth="1"/>
    <col min="1534" max="1534" width="16.44140625" style="49" customWidth="1"/>
    <col min="1535" max="1535" width="21" style="49" customWidth="1"/>
    <col min="1536" max="1536" width="16.44140625" style="49" customWidth="1"/>
    <col min="1537" max="1537" width="18.33203125" style="49" bestFit="1" customWidth="1"/>
    <col min="1538" max="1538" width="19.109375" style="49" customWidth="1"/>
    <col min="1539" max="1540" width="18.33203125" style="49" customWidth="1"/>
    <col min="1541" max="1541" width="8.77734375" style="49"/>
    <col min="1542" max="1543" width="16.77734375" style="49" customWidth="1"/>
    <col min="1544" max="1545" width="11.6640625" style="49" customWidth="1"/>
    <col min="1546" max="1546" width="8.77734375" style="49"/>
    <col min="1547" max="1547" width="18.33203125" style="49" customWidth="1"/>
    <col min="1548" max="1548" width="16.44140625" style="49" customWidth="1"/>
    <col min="1549" max="1549" width="9.44140625" style="49" bestFit="1" customWidth="1"/>
    <col min="1550" max="1550" width="17.6640625" style="49" customWidth="1"/>
    <col min="1551" max="1551" width="14.77734375" style="49" bestFit="1" customWidth="1"/>
    <col min="1552" max="1762" width="8.77734375" style="49"/>
    <col min="1763" max="1763" width="24.109375" style="49" customWidth="1"/>
    <col min="1764" max="1766" width="16.44140625" style="49" customWidth="1"/>
    <col min="1767" max="1767" width="18" style="49" customWidth="1"/>
    <col min="1768" max="1768" width="16.44140625" style="49" customWidth="1"/>
    <col min="1769" max="1769" width="4" style="49" customWidth="1"/>
    <col min="1770" max="1772" width="9.33203125" style="49" customWidth="1"/>
    <col min="1773" max="1773" width="22.44140625" style="49" customWidth="1"/>
    <col min="1774" max="1774" width="3.77734375" style="49" customWidth="1"/>
    <col min="1775" max="1775" width="16.44140625" style="49" customWidth="1"/>
    <col min="1776" max="1776" width="17.33203125" style="49" customWidth="1"/>
    <col min="1777" max="1780" width="16.44140625" style="49" customWidth="1"/>
    <col min="1781" max="1782" width="9.33203125" style="49" customWidth="1"/>
    <col min="1783" max="1783" width="18.77734375" style="49" customWidth="1"/>
    <col min="1784" max="1784" width="16.44140625" style="49" customWidth="1"/>
    <col min="1785" max="1785" width="17.77734375" style="49" customWidth="1"/>
    <col min="1786" max="1788" width="16.44140625" style="49" customWidth="1"/>
    <col min="1789" max="1789" width="17.77734375" style="49" bestFit="1" customWidth="1"/>
    <col min="1790" max="1790" width="16.44140625" style="49" customWidth="1"/>
    <col min="1791" max="1791" width="21" style="49" customWidth="1"/>
    <col min="1792" max="1792" width="16.44140625" style="49" customWidth="1"/>
    <col min="1793" max="1793" width="18.33203125" style="49" bestFit="1" customWidth="1"/>
    <col min="1794" max="1794" width="19.109375" style="49" customWidth="1"/>
    <col min="1795" max="1796" width="18.33203125" style="49" customWidth="1"/>
    <col min="1797" max="1797" width="8.77734375" style="49"/>
    <col min="1798" max="1799" width="16.77734375" style="49" customWidth="1"/>
    <col min="1800" max="1801" width="11.6640625" style="49" customWidth="1"/>
    <col min="1802" max="1802" width="8.77734375" style="49"/>
    <col min="1803" max="1803" width="18.33203125" style="49" customWidth="1"/>
    <col min="1804" max="1804" width="16.44140625" style="49" customWidth="1"/>
    <col min="1805" max="1805" width="9.44140625" style="49" bestFit="1" customWidth="1"/>
    <col min="1806" max="1806" width="17.6640625" style="49" customWidth="1"/>
    <col min="1807" max="1807" width="14.77734375" style="49" bestFit="1" customWidth="1"/>
    <col min="1808" max="2018" width="8.77734375" style="49"/>
    <col min="2019" max="2019" width="24.109375" style="49" customWidth="1"/>
    <col min="2020" max="2022" width="16.44140625" style="49" customWidth="1"/>
    <col min="2023" max="2023" width="18" style="49" customWidth="1"/>
    <col min="2024" max="2024" width="16.44140625" style="49" customWidth="1"/>
    <col min="2025" max="2025" width="4" style="49" customWidth="1"/>
    <col min="2026" max="2028" width="9.33203125" style="49" customWidth="1"/>
    <col min="2029" max="2029" width="22.44140625" style="49" customWidth="1"/>
    <col min="2030" max="2030" width="3.77734375" style="49" customWidth="1"/>
    <col min="2031" max="2031" width="16.44140625" style="49" customWidth="1"/>
    <col min="2032" max="2032" width="17.33203125" style="49" customWidth="1"/>
    <col min="2033" max="2036" width="16.44140625" style="49" customWidth="1"/>
    <col min="2037" max="2038" width="9.33203125" style="49" customWidth="1"/>
    <col min="2039" max="2039" width="18.77734375" style="49" customWidth="1"/>
    <col min="2040" max="2040" width="16.44140625" style="49" customWidth="1"/>
    <col min="2041" max="2041" width="17.77734375" style="49" customWidth="1"/>
    <col min="2042" max="2044" width="16.44140625" style="49" customWidth="1"/>
    <col min="2045" max="2045" width="17.77734375" style="49" bestFit="1" customWidth="1"/>
    <col min="2046" max="2046" width="16.44140625" style="49" customWidth="1"/>
    <col min="2047" max="2047" width="21" style="49" customWidth="1"/>
    <col min="2048" max="2048" width="16.44140625" style="49" customWidth="1"/>
    <col min="2049" max="2049" width="18.33203125" style="49" bestFit="1" customWidth="1"/>
    <col min="2050" max="2050" width="19.109375" style="49" customWidth="1"/>
    <col min="2051" max="2052" width="18.33203125" style="49" customWidth="1"/>
    <col min="2053" max="2053" width="8.77734375" style="49"/>
    <col min="2054" max="2055" width="16.77734375" style="49" customWidth="1"/>
    <col min="2056" max="2057" width="11.6640625" style="49" customWidth="1"/>
    <col min="2058" max="2058" width="8.77734375" style="49"/>
    <col min="2059" max="2059" width="18.33203125" style="49" customWidth="1"/>
    <col min="2060" max="2060" width="16.44140625" style="49" customWidth="1"/>
    <col min="2061" max="2061" width="9.44140625" style="49" bestFit="1" customWidth="1"/>
    <col min="2062" max="2062" width="17.6640625" style="49" customWidth="1"/>
    <col min="2063" max="2063" width="14.77734375" style="49" bestFit="1" customWidth="1"/>
    <col min="2064" max="2274" width="8.77734375" style="49"/>
    <col min="2275" max="2275" width="24.109375" style="49" customWidth="1"/>
    <col min="2276" max="2278" width="16.44140625" style="49" customWidth="1"/>
    <col min="2279" max="2279" width="18" style="49" customWidth="1"/>
    <col min="2280" max="2280" width="16.44140625" style="49" customWidth="1"/>
    <col min="2281" max="2281" width="4" style="49" customWidth="1"/>
    <col min="2282" max="2284" width="9.33203125" style="49" customWidth="1"/>
    <col min="2285" max="2285" width="22.44140625" style="49" customWidth="1"/>
    <col min="2286" max="2286" width="3.77734375" style="49" customWidth="1"/>
    <col min="2287" max="2287" width="16.44140625" style="49" customWidth="1"/>
    <col min="2288" max="2288" width="17.33203125" style="49" customWidth="1"/>
    <col min="2289" max="2292" width="16.44140625" style="49" customWidth="1"/>
    <col min="2293" max="2294" width="9.33203125" style="49" customWidth="1"/>
    <col min="2295" max="2295" width="18.77734375" style="49" customWidth="1"/>
    <col min="2296" max="2296" width="16.44140625" style="49" customWidth="1"/>
    <col min="2297" max="2297" width="17.77734375" style="49" customWidth="1"/>
    <col min="2298" max="2300" width="16.44140625" style="49" customWidth="1"/>
    <col min="2301" max="2301" width="17.77734375" style="49" bestFit="1" customWidth="1"/>
    <col min="2302" max="2302" width="16.44140625" style="49" customWidth="1"/>
    <col min="2303" max="2303" width="21" style="49" customWidth="1"/>
    <col min="2304" max="2304" width="16.44140625" style="49" customWidth="1"/>
    <col min="2305" max="2305" width="18.33203125" style="49" bestFit="1" customWidth="1"/>
    <col min="2306" max="2306" width="19.109375" style="49" customWidth="1"/>
    <col min="2307" max="2308" width="18.33203125" style="49" customWidth="1"/>
    <col min="2309" max="2309" width="8.77734375" style="49"/>
    <col min="2310" max="2311" width="16.77734375" style="49" customWidth="1"/>
    <col min="2312" max="2313" width="11.6640625" style="49" customWidth="1"/>
    <col min="2314" max="2314" width="8.77734375" style="49"/>
    <col min="2315" max="2315" width="18.33203125" style="49" customWidth="1"/>
    <col min="2316" max="2316" width="16.44140625" style="49" customWidth="1"/>
    <col min="2317" max="2317" width="9.44140625" style="49" bestFit="1" customWidth="1"/>
    <col min="2318" max="2318" width="17.6640625" style="49" customWidth="1"/>
    <col min="2319" max="2319" width="14.77734375" style="49" bestFit="1" customWidth="1"/>
    <col min="2320" max="2530" width="8.77734375" style="49"/>
    <col min="2531" max="2531" width="24.109375" style="49" customWidth="1"/>
    <col min="2532" max="2534" width="16.44140625" style="49" customWidth="1"/>
    <col min="2535" max="2535" width="18" style="49" customWidth="1"/>
    <col min="2536" max="2536" width="16.44140625" style="49" customWidth="1"/>
    <col min="2537" max="2537" width="4" style="49" customWidth="1"/>
    <col min="2538" max="2540" width="9.33203125" style="49" customWidth="1"/>
    <col min="2541" max="2541" width="22.44140625" style="49" customWidth="1"/>
    <col min="2542" max="2542" width="3.77734375" style="49" customWidth="1"/>
    <col min="2543" max="2543" width="16.44140625" style="49" customWidth="1"/>
    <col min="2544" max="2544" width="17.33203125" style="49" customWidth="1"/>
    <col min="2545" max="2548" width="16.44140625" style="49" customWidth="1"/>
    <col min="2549" max="2550" width="9.33203125" style="49" customWidth="1"/>
    <col min="2551" max="2551" width="18.77734375" style="49" customWidth="1"/>
    <col min="2552" max="2552" width="16.44140625" style="49" customWidth="1"/>
    <col min="2553" max="2553" width="17.77734375" style="49" customWidth="1"/>
    <col min="2554" max="2556" width="16.44140625" style="49" customWidth="1"/>
    <col min="2557" max="2557" width="17.77734375" style="49" bestFit="1" customWidth="1"/>
    <col min="2558" max="2558" width="16.44140625" style="49" customWidth="1"/>
    <col min="2559" max="2559" width="21" style="49" customWidth="1"/>
    <col min="2560" max="2560" width="16.44140625" style="49" customWidth="1"/>
    <col min="2561" max="2561" width="18.33203125" style="49" bestFit="1" customWidth="1"/>
    <col min="2562" max="2562" width="19.109375" style="49" customWidth="1"/>
    <col min="2563" max="2564" width="18.33203125" style="49" customWidth="1"/>
    <col min="2565" max="2565" width="8.77734375" style="49"/>
    <col min="2566" max="2567" width="16.77734375" style="49" customWidth="1"/>
    <col min="2568" max="2569" width="11.6640625" style="49" customWidth="1"/>
    <col min="2570" max="2570" width="8.77734375" style="49"/>
    <col min="2571" max="2571" width="18.33203125" style="49" customWidth="1"/>
    <col min="2572" max="2572" width="16.44140625" style="49" customWidth="1"/>
    <col min="2573" max="2573" width="9.44140625" style="49" bestFit="1" customWidth="1"/>
    <col min="2574" max="2574" width="17.6640625" style="49" customWidth="1"/>
    <col min="2575" max="2575" width="14.77734375" style="49" bestFit="1" customWidth="1"/>
    <col min="2576" max="2786" width="8.77734375" style="49"/>
    <col min="2787" max="2787" width="24.109375" style="49" customWidth="1"/>
    <col min="2788" max="2790" width="16.44140625" style="49" customWidth="1"/>
    <col min="2791" max="2791" width="18" style="49" customWidth="1"/>
    <col min="2792" max="2792" width="16.44140625" style="49" customWidth="1"/>
    <col min="2793" max="2793" width="4" style="49" customWidth="1"/>
    <col min="2794" max="2796" width="9.33203125" style="49" customWidth="1"/>
    <col min="2797" max="2797" width="22.44140625" style="49" customWidth="1"/>
    <col min="2798" max="2798" width="3.77734375" style="49" customWidth="1"/>
    <col min="2799" max="2799" width="16.44140625" style="49" customWidth="1"/>
    <col min="2800" max="2800" width="17.33203125" style="49" customWidth="1"/>
    <col min="2801" max="2804" width="16.44140625" style="49" customWidth="1"/>
    <col min="2805" max="2806" width="9.33203125" style="49" customWidth="1"/>
    <col min="2807" max="2807" width="18.77734375" style="49" customWidth="1"/>
    <col min="2808" max="2808" width="16.44140625" style="49" customWidth="1"/>
    <col min="2809" max="2809" width="17.77734375" style="49" customWidth="1"/>
    <col min="2810" max="2812" width="16.44140625" style="49" customWidth="1"/>
    <col min="2813" max="2813" width="17.77734375" style="49" bestFit="1" customWidth="1"/>
    <col min="2814" max="2814" width="16.44140625" style="49" customWidth="1"/>
    <col min="2815" max="2815" width="21" style="49" customWidth="1"/>
    <col min="2816" max="2816" width="16.44140625" style="49" customWidth="1"/>
    <col min="2817" max="2817" width="18.33203125" style="49" bestFit="1" customWidth="1"/>
    <col min="2818" max="2818" width="19.109375" style="49" customWidth="1"/>
    <col min="2819" max="2820" width="18.33203125" style="49" customWidth="1"/>
    <col min="2821" max="2821" width="8.77734375" style="49"/>
    <col min="2822" max="2823" width="16.77734375" style="49" customWidth="1"/>
    <col min="2824" max="2825" width="11.6640625" style="49" customWidth="1"/>
    <col min="2826" max="2826" width="8.77734375" style="49"/>
    <col min="2827" max="2827" width="18.33203125" style="49" customWidth="1"/>
    <col min="2828" max="2828" width="16.44140625" style="49" customWidth="1"/>
    <col min="2829" max="2829" width="9.44140625" style="49" bestFit="1" customWidth="1"/>
    <col min="2830" max="2830" width="17.6640625" style="49" customWidth="1"/>
    <col min="2831" max="2831" width="14.77734375" style="49" bestFit="1" customWidth="1"/>
    <col min="2832" max="3042" width="8.77734375" style="49"/>
    <col min="3043" max="3043" width="24.109375" style="49" customWidth="1"/>
    <col min="3044" max="3046" width="16.44140625" style="49" customWidth="1"/>
    <col min="3047" max="3047" width="18" style="49" customWidth="1"/>
    <col min="3048" max="3048" width="16.44140625" style="49" customWidth="1"/>
    <col min="3049" max="3049" width="4" style="49" customWidth="1"/>
    <col min="3050" max="3052" width="9.33203125" style="49" customWidth="1"/>
    <col min="3053" max="3053" width="22.44140625" style="49" customWidth="1"/>
    <col min="3054" max="3054" width="3.77734375" style="49" customWidth="1"/>
    <col min="3055" max="3055" width="16.44140625" style="49" customWidth="1"/>
    <col min="3056" max="3056" width="17.33203125" style="49" customWidth="1"/>
    <col min="3057" max="3060" width="16.44140625" style="49" customWidth="1"/>
    <col min="3061" max="3062" width="9.33203125" style="49" customWidth="1"/>
    <col min="3063" max="3063" width="18.77734375" style="49" customWidth="1"/>
    <col min="3064" max="3064" width="16.44140625" style="49" customWidth="1"/>
    <col min="3065" max="3065" width="17.77734375" style="49" customWidth="1"/>
    <col min="3066" max="3068" width="16.44140625" style="49" customWidth="1"/>
    <col min="3069" max="3069" width="17.77734375" style="49" bestFit="1" customWidth="1"/>
    <col min="3070" max="3070" width="16.44140625" style="49" customWidth="1"/>
    <col min="3071" max="3071" width="21" style="49" customWidth="1"/>
    <col min="3072" max="3072" width="16.44140625" style="49" customWidth="1"/>
    <col min="3073" max="3073" width="18.33203125" style="49" bestFit="1" customWidth="1"/>
    <col min="3074" max="3074" width="19.109375" style="49" customWidth="1"/>
    <col min="3075" max="3076" width="18.33203125" style="49" customWidth="1"/>
    <col min="3077" max="3077" width="8.77734375" style="49"/>
    <col min="3078" max="3079" width="16.77734375" style="49" customWidth="1"/>
    <col min="3080" max="3081" width="11.6640625" style="49" customWidth="1"/>
    <col min="3082" max="3082" width="8.77734375" style="49"/>
    <col min="3083" max="3083" width="18.33203125" style="49" customWidth="1"/>
    <col min="3084" max="3084" width="16.44140625" style="49" customWidth="1"/>
    <col min="3085" max="3085" width="9.44140625" style="49" bestFit="1" customWidth="1"/>
    <col min="3086" max="3086" width="17.6640625" style="49" customWidth="1"/>
    <col min="3087" max="3087" width="14.77734375" style="49" bestFit="1" customWidth="1"/>
    <col min="3088" max="3298" width="8.77734375" style="49"/>
    <col min="3299" max="3299" width="24.109375" style="49" customWidth="1"/>
    <col min="3300" max="3302" width="16.44140625" style="49" customWidth="1"/>
    <col min="3303" max="3303" width="18" style="49" customWidth="1"/>
    <col min="3304" max="3304" width="16.44140625" style="49" customWidth="1"/>
    <col min="3305" max="3305" width="4" style="49" customWidth="1"/>
    <col min="3306" max="3308" width="9.33203125" style="49" customWidth="1"/>
    <col min="3309" max="3309" width="22.44140625" style="49" customWidth="1"/>
    <col min="3310" max="3310" width="3.77734375" style="49" customWidth="1"/>
    <col min="3311" max="3311" width="16.44140625" style="49" customWidth="1"/>
    <col min="3312" max="3312" width="17.33203125" style="49" customWidth="1"/>
    <col min="3313" max="3316" width="16.44140625" style="49" customWidth="1"/>
    <col min="3317" max="3318" width="9.33203125" style="49" customWidth="1"/>
    <col min="3319" max="3319" width="18.77734375" style="49" customWidth="1"/>
    <col min="3320" max="3320" width="16.44140625" style="49" customWidth="1"/>
    <col min="3321" max="3321" width="17.77734375" style="49" customWidth="1"/>
    <col min="3322" max="3324" width="16.44140625" style="49" customWidth="1"/>
    <col min="3325" max="3325" width="17.77734375" style="49" bestFit="1" customWidth="1"/>
    <col min="3326" max="3326" width="16.44140625" style="49" customWidth="1"/>
    <col min="3327" max="3327" width="21" style="49" customWidth="1"/>
    <col min="3328" max="3328" width="16.44140625" style="49" customWidth="1"/>
    <col min="3329" max="3329" width="18.33203125" style="49" bestFit="1" customWidth="1"/>
    <col min="3330" max="3330" width="19.109375" style="49" customWidth="1"/>
    <col min="3331" max="3332" width="18.33203125" style="49" customWidth="1"/>
    <col min="3333" max="3333" width="8.77734375" style="49"/>
    <col min="3334" max="3335" width="16.77734375" style="49" customWidth="1"/>
    <col min="3336" max="3337" width="11.6640625" style="49" customWidth="1"/>
    <col min="3338" max="3338" width="8.77734375" style="49"/>
    <col min="3339" max="3339" width="18.33203125" style="49" customWidth="1"/>
    <col min="3340" max="3340" width="16.44140625" style="49" customWidth="1"/>
    <col min="3341" max="3341" width="9.44140625" style="49" bestFit="1" customWidth="1"/>
    <col min="3342" max="3342" width="17.6640625" style="49" customWidth="1"/>
    <col min="3343" max="3343" width="14.77734375" style="49" bestFit="1" customWidth="1"/>
    <col min="3344" max="3554" width="8.77734375" style="49"/>
    <col min="3555" max="3555" width="24.109375" style="49" customWidth="1"/>
    <col min="3556" max="3558" width="16.44140625" style="49" customWidth="1"/>
    <col min="3559" max="3559" width="18" style="49" customWidth="1"/>
    <col min="3560" max="3560" width="16.44140625" style="49" customWidth="1"/>
    <col min="3561" max="3561" width="4" style="49" customWidth="1"/>
    <col min="3562" max="3564" width="9.33203125" style="49" customWidth="1"/>
    <col min="3565" max="3565" width="22.44140625" style="49" customWidth="1"/>
    <col min="3566" max="3566" width="3.77734375" style="49" customWidth="1"/>
    <col min="3567" max="3567" width="16.44140625" style="49" customWidth="1"/>
    <col min="3568" max="3568" width="17.33203125" style="49" customWidth="1"/>
    <col min="3569" max="3572" width="16.44140625" style="49" customWidth="1"/>
    <col min="3573" max="3574" width="9.33203125" style="49" customWidth="1"/>
    <col min="3575" max="3575" width="18.77734375" style="49" customWidth="1"/>
    <col min="3576" max="3576" width="16.44140625" style="49" customWidth="1"/>
    <col min="3577" max="3577" width="17.77734375" style="49" customWidth="1"/>
    <col min="3578" max="3580" width="16.44140625" style="49" customWidth="1"/>
    <col min="3581" max="3581" width="17.77734375" style="49" bestFit="1" customWidth="1"/>
    <col min="3582" max="3582" width="16.44140625" style="49" customWidth="1"/>
    <col min="3583" max="3583" width="21" style="49" customWidth="1"/>
    <col min="3584" max="3584" width="16.44140625" style="49" customWidth="1"/>
    <col min="3585" max="3585" width="18.33203125" style="49" bestFit="1" customWidth="1"/>
    <col min="3586" max="3586" width="19.109375" style="49" customWidth="1"/>
    <col min="3587" max="3588" width="18.33203125" style="49" customWidth="1"/>
    <col min="3589" max="3589" width="8.77734375" style="49"/>
    <col min="3590" max="3591" width="16.77734375" style="49" customWidth="1"/>
    <col min="3592" max="3593" width="11.6640625" style="49" customWidth="1"/>
    <col min="3594" max="3594" width="8.77734375" style="49"/>
    <col min="3595" max="3595" width="18.33203125" style="49" customWidth="1"/>
    <col min="3596" max="3596" width="16.44140625" style="49" customWidth="1"/>
    <col min="3597" max="3597" width="9.44140625" style="49" bestFit="1" customWidth="1"/>
    <col min="3598" max="3598" width="17.6640625" style="49" customWidth="1"/>
    <col min="3599" max="3599" width="14.77734375" style="49" bestFit="1" customWidth="1"/>
    <col min="3600" max="3810" width="8.77734375" style="49"/>
    <col min="3811" max="3811" width="24.109375" style="49" customWidth="1"/>
    <col min="3812" max="3814" width="16.44140625" style="49" customWidth="1"/>
    <col min="3815" max="3815" width="18" style="49" customWidth="1"/>
    <col min="3816" max="3816" width="16.44140625" style="49" customWidth="1"/>
    <col min="3817" max="3817" width="4" style="49" customWidth="1"/>
    <col min="3818" max="3820" width="9.33203125" style="49" customWidth="1"/>
    <col min="3821" max="3821" width="22.44140625" style="49" customWidth="1"/>
    <col min="3822" max="3822" width="3.77734375" style="49" customWidth="1"/>
    <col min="3823" max="3823" width="16.44140625" style="49" customWidth="1"/>
    <col min="3824" max="3824" width="17.33203125" style="49" customWidth="1"/>
    <col min="3825" max="3828" width="16.44140625" style="49" customWidth="1"/>
    <col min="3829" max="3830" width="9.33203125" style="49" customWidth="1"/>
    <col min="3831" max="3831" width="18.77734375" style="49" customWidth="1"/>
    <col min="3832" max="3832" width="16.44140625" style="49" customWidth="1"/>
    <col min="3833" max="3833" width="17.77734375" style="49" customWidth="1"/>
    <col min="3834" max="3836" width="16.44140625" style="49" customWidth="1"/>
    <col min="3837" max="3837" width="17.77734375" style="49" bestFit="1" customWidth="1"/>
    <col min="3838" max="3838" width="16.44140625" style="49" customWidth="1"/>
    <col min="3839" max="3839" width="21" style="49" customWidth="1"/>
    <col min="3840" max="3840" width="16.44140625" style="49" customWidth="1"/>
    <col min="3841" max="3841" width="18.33203125" style="49" bestFit="1" customWidth="1"/>
    <col min="3842" max="3842" width="19.109375" style="49" customWidth="1"/>
    <col min="3843" max="3844" width="18.33203125" style="49" customWidth="1"/>
    <col min="3845" max="3845" width="8.77734375" style="49"/>
    <col min="3846" max="3847" width="16.77734375" style="49" customWidth="1"/>
    <col min="3848" max="3849" width="11.6640625" style="49" customWidth="1"/>
    <col min="3850" max="3850" width="8.77734375" style="49"/>
    <col min="3851" max="3851" width="18.33203125" style="49" customWidth="1"/>
    <col min="3852" max="3852" width="16.44140625" style="49" customWidth="1"/>
    <col min="3853" max="3853" width="9.44140625" style="49" bestFit="1" customWidth="1"/>
    <col min="3854" max="3854" width="17.6640625" style="49" customWidth="1"/>
    <col min="3855" max="3855" width="14.77734375" style="49" bestFit="1" customWidth="1"/>
    <col min="3856" max="4066" width="8.77734375" style="49"/>
    <col min="4067" max="4067" width="24.109375" style="49" customWidth="1"/>
    <col min="4068" max="4070" width="16.44140625" style="49" customWidth="1"/>
    <col min="4071" max="4071" width="18" style="49" customWidth="1"/>
    <col min="4072" max="4072" width="16.44140625" style="49" customWidth="1"/>
    <col min="4073" max="4073" width="4" style="49" customWidth="1"/>
    <col min="4074" max="4076" width="9.33203125" style="49" customWidth="1"/>
    <col min="4077" max="4077" width="22.44140625" style="49" customWidth="1"/>
    <col min="4078" max="4078" width="3.77734375" style="49" customWidth="1"/>
    <col min="4079" max="4079" width="16.44140625" style="49" customWidth="1"/>
    <col min="4080" max="4080" width="17.33203125" style="49" customWidth="1"/>
    <col min="4081" max="4084" width="16.44140625" style="49" customWidth="1"/>
    <col min="4085" max="4086" width="9.33203125" style="49" customWidth="1"/>
    <col min="4087" max="4087" width="18.77734375" style="49" customWidth="1"/>
    <col min="4088" max="4088" width="16.44140625" style="49" customWidth="1"/>
    <col min="4089" max="4089" width="17.77734375" style="49" customWidth="1"/>
    <col min="4090" max="4092" width="16.44140625" style="49" customWidth="1"/>
    <col min="4093" max="4093" width="17.77734375" style="49" bestFit="1" customWidth="1"/>
    <col min="4094" max="4094" width="16.44140625" style="49" customWidth="1"/>
    <col min="4095" max="4095" width="21" style="49" customWidth="1"/>
    <col min="4096" max="4096" width="16.44140625" style="49" customWidth="1"/>
    <col min="4097" max="4097" width="18.33203125" style="49" bestFit="1" customWidth="1"/>
    <col min="4098" max="4098" width="19.109375" style="49" customWidth="1"/>
    <col min="4099" max="4100" width="18.33203125" style="49" customWidth="1"/>
    <col min="4101" max="4101" width="8.77734375" style="49"/>
    <col min="4102" max="4103" width="16.77734375" style="49" customWidth="1"/>
    <col min="4104" max="4105" width="11.6640625" style="49" customWidth="1"/>
    <col min="4106" max="4106" width="8.77734375" style="49"/>
    <col min="4107" max="4107" width="18.33203125" style="49" customWidth="1"/>
    <col min="4108" max="4108" width="16.44140625" style="49" customWidth="1"/>
    <col min="4109" max="4109" width="9.44140625" style="49" bestFit="1" customWidth="1"/>
    <col min="4110" max="4110" width="17.6640625" style="49" customWidth="1"/>
    <col min="4111" max="4111" width="14.77734375" style="49" bestFit="1" customWidth="1"/>
    <col min="4112" max="4322" width="8.77734375" style="49"/>
    <col min="4323" max="4323" width="24.109375" style="49" customWidth="1"/>
    <col min="4324" max="4326" width="16.44140625" style="49" customWidth="1"/>
    <col min="4327" max="4327" width="18" style="49" customWidth="1"/>
    <col min="4328" max="4328" width="16.44140625" style="49" customWidth="1"/>
    <col min="4329" max="4329" width="4" style="49" customWidth="1"/>
    <col min="4330" max="4332" width="9.33203125" style="49" customWidth="1"/>
    <col min="4333" max="4333" width="22.44140625" style="49" customWidth="1"/>
    <col min="4334" max="4334" width="3.77734375" style="49" customWidth="1"/>
    <col min="4335" max="4335" width="16.44140625" style="49" customWidth="1"/>
    <col min="4336" max="4336" width="17.33203125" style="49" customWidth="1"/>
    <col min="4337" max="4340" width="16.44140625" style="49" customWidth="1"/>
    <col min="4341" max="4342" width="9.33203125" style="49" customWidth="1"/>
    <col min="4343" max="4343" width="18.77734375" style="49" customWidth="1"/>
    <col min="4344" max="4344" width="16.44140625" style="49" customWidth="1"/>
    <col min="4345" max="4345" width="17.77734375" style="49" customWidth="1"/>
    <col min="4346" max="4348" width="16.44140625" style="49" customWidth="1"/>
    <col min="4349" max="4349" width="17.77734375" style="49" bestFit="1" customWidth="1"/>
    <col min="4350" max="4350" width="16.44140625" style="49" customWidth="1"/>
    <col min="4351" max="4351" width="21" style="49" customWidth="1"/>
    <col min="4352" max="4352" width="16.44140625" style="49" customWidth="1"/>
    <col min="4353" max="4353" width="18.33203125" style="49" bestFit="1" customWidth="1"/>
    <col min="4354" max="4354" width="19.109375" style="49" customWidth="1"/>
    <col min="4355" max="4356" width="18.33203125" style="49" customWidth="1"/>
    <col min="4357" max="4357" width="8.77734375" style="49"/>
    <col min="4358" max="4359" width="16.77734375" style="49" customWidth="1"/>
    <col min="4360" max="4361" width="11.6640625" style="49" customWidth="1"/>
    <col min="4362" max="4362" width="8.77734375" style="49"/>
    <col min="4363" max="4363" width="18.33203125" style="49" customWidth="1"/>
    <col min="4364" max="4364" width="16.44140625" style="49" customWidth="1"/>
    <col min="4365" max="4365" width="9.44140625" style="49" bestFit="1" customWidth="1"/>
    <col min="4366" max="4366" width="17.6640625" style="49" customWidth="1"/>
    <col min="4367" max="4367" width="14.77734375" style="49" bestFit="1" customWidth="1"/>
    <col min="4368" max="4578" width="8.77734375" style="49"/>
    <col min="4579" max="4579" width="24.109375" style="49" customWidth="1"/>
    <col min="4580" max="4582" width="16.44140625" style="49" customWidth="1"/>
    <col min="4583" max="4583" width="18" style="49" customWidth="1"/>
    <col min="4584" max="4584" width="16.44140625" style="49" customWidth="1"/>
    <col min="4585" max="4585" width="4" style="49" customWidth="1"/>
    <col min="4586" max="4588" width="9.33203125" style="49" customWidth="1"/>
    <col min="4589" max="4589" width="22.44140625" style="49" customWidth="1"/>
    <col min="4590" max="4590" width="3.77734375" style="49" customWidth="1"/>
    <col min="4591" max="4591" width="16.44140625" style="49" customWidth="1"/>
    <col min="4592" max="4592" width="17.33203125" style="49" customWidth="1"/>
    <col min="4593" max="4596" width="16.44140625" style="49" customWidth="1"/>
    <col min="4597" max="4598" width="9.33203125" style="49" customWidth="1"/>
    <col min="4599" max="4599" width="18.77734375" style="49" customWidth="1"/>
    <col min="4600" max="4600" width="16.44140625" style="49" customWidth="1"/>
    <col min="4601" max="4601" width="17.77734375" style="49" customWidth="1"/>
    <col min="4602" max="4604" width="16.44140625" style="49" customWidth="1"/>
    <col min="4605" max="4605" width="17.77734375" style="49" bestFit="1" customWidth="1"/>
    <col min="4606" max="4606" width="16.44140625" style="49" customWidth="1"/>
    <col min="4607" max="4607" width="21" style="49" customWidth="1"/>
    <col min="4608" max="4608" width="16.44140625" style="49" customWidth="1"/>
    <col min="4609" max="4609" width="18.33203125" style="49" bestFit="1" customWidth="1"/>
    <col min="4610" max="4610" width="19.109375" style="49" customWidth="1"/>
    <col min="4611" max="4612" width="18.33203125" style="49" customWidth="1"/>
    <col min="4613" max="4613" width="8.77734375" style="49"/>
    <col min="4614" max="4615" width="16.77734375" style="49" customWidth="1"/>
    <col min="4616" max="4617" width="11.6640625" style="49" customWidth="1"/>
    <col min="4618" max="4618" width="8.77734375" style="49"/>
    <col min="4619" max="4619" width="18.33203125" style="49" customWidth="1"/>
    <col min="4620" max="4620" width="16.44140625" style="49" customWidth="1"/>
    <col min="4621" max="4621" width="9.44140625" style="49" bestFit="1" customWidth="1"/>
    <col min="4622" max="4622" width="17.6640625" style="49" customWidth="1"/>
    <col min="4623" max="4623" width="14.77734375" style="49" bestFit="1" customWidth="1"/>
    <col min="4624" max="4834" width="8.77734375" style="49"/>
    <col min="4835" max="4835" width="24.109375" style="49" customWidth="1"/>
    <col min="4836" max="4838" width="16.44140625" style="49" customWidth="1"/>
    <col min="4839" max="4839" width="18" style="49" customWidth="1"/>
    <col min="4840" max="4840" width="16.44140625" style="49" customWidth="1"/>
    <col min="4841" max="4841" width="4" style="49" customWidth="1"/>
    <col min="4842" max="4844" width="9.33203125" style="49" customWidth="1"/>
    <col min="4845" max="4845" width="22.44140625" style="49" customWidth="1"/>
    <col min="4846" max="4846" width="3.77734375" style="49" customWidth="1"/>
    <col min="4847" max="4847" width="16.44140625" style="49" customWidth="1"/>
    <col min="4848" max="4848" width="17.33203125" style="49" customWidth="1"/>
    <col min="4849" max="4852" width="16.44140625" style="49" customWidth="1"/>
    <col min="4853" max="4854" width="9.33203125" style="49" customWidth="1"/>
    <col min="4855" max="4855" width="18.77734375" style="49" customWidth="1"/>
    <col min="4856" max="4856" width="16.44140625" style="49" customWidth="1"/>
    <col min="4857" max="4857" width="17.77734375" style="49" customWidth="1"/>
    <col min="4858" max="4860" width="16.44140625" style="49" customWidth="1"/>
    <col min="4861" max="4861" width="17.77734375" style="49" bestFit="1" customWidth="1"/>
    <col min="4862" max="4862" width="16.44140625" style="49" customWidth="1"/>
    <col min="4863" max="4863" width="21" style="49" customWidth="1"/>
    <col min="4864" max="4864" width="16.44140625" style="49" customWidth="1"/>
    <col min="4865" max="4865" width="18.33203125" style="49" bestFit="1" customWidth="1"/>
    <col min="4866" max="4866" width="19.109375" style="49" customWidth="1"/>
    <col min="4867" max="4868" width="18.33203125" style="49" customWidth="1"/>
    <col min="4869" max="4869" width="8.77734375" style="49"/>
    <col min="4870" max="4871" width="16.77734375" style="49" customWidth="1"/>
    <col min="4872" max="4873" width="11.6640625" style="49" customWidth="1"/>
    <col min="4874" max="4874" width="8.77734375" style="49"/>
    <col min="4875" max="4875" width="18.33203125" style="49" customWidth="1"/>
    <col min="4876" max="4876" width="16.44140625" style="49" customWidth="1"/>
    <col min="4877" max="4877" width="9.44140625" style="49" bestFit="1" customWidth="1"/>
    <col min="4878" max="4878" width="17.6640625" style="49" customWidth="1"/>
    <col min="4879" max="4879" width="14.77734375" style="49" bestFit="1" customWidth="1"/>
    <col min="4880" max="5090" width="8.77734375" style="49"/>
    <col min="5091" max="5091" width="24.109375" style="49" customWidth="1"/>
    <col min="5092" max="5094" width="16.44140625" style="49" customWidth="1"/>
    <col min="5095" max="5095" width="18" style="49" customWidth="1"/>
    <col min="5096" max="5096" width="16.44140625" style="49" customWidth="1"/>
    <col min="5097" max="5097" width="4" style="49" customWidth="1"/>
    <col min="5098" max="5100" width="9.33203125" style="49" customWidth="1"/>
    <col min="5101" max="5101" width="22.44140625" style="49" customWidth="1"/>
    <col min="5102" max="5102" width="3.77734375" style="49" customWidth="1"/>
    <col min="5103" max="5103" width="16.44140625" style="49" customWidth="1"/>
    <col min="5104" max="5104" width="17.33203125" style="49" customWidth="1"/>
    <col min="5105" max="5108" width="16.44140625" style="49" customWidth="1"/>
    <col min="5109" max="5110" width="9.33203125" style="49" customWidth="1"/>
    <col min="5111" max="5111" width="18.77734375" style="49" customWidth="1"/>
    <col min="5112" max="5112" width="16.44140625" style="49" customWidth="1"/>
    <col min="5113" max="5113" width="17.77734375" style="49" customWidth="1"/>
    <col min="5114" max="5116" width="16.44140625" style="49" customWidth="1"/>
    <col min="5117" max="5117" width="17.77734375" style="49" bestFit="1" customWidth="1"/>
    <col min="5118" max="5118" width="16.44140625" style="49" customWidth="1"/>
    <col min="5119" max="5119" width="21" style="49" customWidth="1"/>
    <col min="5120" max="5120" width="16.44140625" style="49" customWidth="1"/>
    <col min="5121" max="5121" width="18.33203125" style="49" bestFit="1" customWidth="1"/>
    <col min="5122" max="5122" width="19.109375" style="49" customWidth="1"/>
    <col min="5123" max="5124" width="18.33203125" style="49" customWidth="1"/>
    <col min="5125" max="5125" width="8.77734375" style="49"/>
    <col min="5126" max="5127" width="16.77734375" style="49" customWidth="1"/>
    <col min="5128" max="5129" width="11.6640625" style="49" customWidth="1"/>
    <col min="5130" max="5130" width="8.77734375" style="49"/>
    <col min="5131" max="5131" width="18.33203125" style="49" customWidth="1"/>
    <col min="5132" max="5132" width="16.44140625" style="49" customWidth="1"/>
    <col min="5133" max="5133" width="9.44140625" style="49" bestFit="1" customWidth="1"/>
    <col min="5134" max="5134" width="17.6640625" style="49" customWidth="1"/>
    <col min="5135" max="5135" width="14.77734375" style="49" bestFit="1" customWidth="1"/>
    <col min="5136" max="5346" width="8.77734375" style="49"/>
    <col min="5347" max="5347" width="24.109375" style="49" customWidth="1"/>
    <col min="5348" max="5350" width="16.44140625" style="49" customWidth="1"/>
    <col min="5351" max="5351" width="18" style="49" customWidth="1"/>
    <col min="5352" max="5352" width="16.44140625" style="49" customWidth="1"/>
    <col min="5353" max="5353" width="4" style="49" customWidth="1"/>
    <col min="5354" max="5356" width="9.33203125" style="49" customWidth="1"/>
    <col min="5357" max="5357" width="22.44140625" style="49" customWidth="1"/>
    <col min="5358" max="5358" width="3.77734375" style="49" customWidth="1"/>
    <col min="5359" max="5359" width="16.44140625" style="49" customWidth="1"/>
    <col min="5360" max="5360" width="17.33203125" style="49" customWidth="1"/>
    <col min="5361" max="5364" width="16.44140625" style="49" customWidth="1"/>
    <col min="5365" max="5366" width="9.33203125" style="49" customWidth="1"/>
    <col min="5367" max="5367" width="18.77734375" style="49" customWidth="1"/>
    <col min="5368" max="5368" width="16.44140625" style="49" customWidth="1"/>
    <col min="5369" max="5369" width="17.77734375" style="49" customWidth="1"/>
    <col min="5370" max="5372" width="16.44140625" style="49" customWidth="1"/>
    <col min="5373" max="5373" width="17.77734375" style="49" bestFit="1" customWidth="1"/>
    <col min="5374" max="5374" width="16.44140625" style="49" customWidth="1"/>
    <col min="5375" max="5375" width="21" style="49" customWidth="1"/>
    <col min="5376" max="5376" width="16.44140625" style="49" customWidth="1"/>
    <col min="5377" max="5377" width="18.33203125" style="49" bestFit="1" customWidth="1"/>
    <col min="5378" max="5378" width="19.109375" style="49" customWidth="1"/>
    <col min="5379" max="5380" width="18.33203125" style="49" customWidth="1"/>
    <col min="5381" max="5381" width="8.77734375" style="49"/>
    <col min="5382" max="5383" width="16.77734375" style="49" customWidth="1"/>
    <col min="5384" max="5385" width="11.6640625" style="49" customWidth="1"/>
    <col min="5386" max="5386" width="8.77734375" style="49"/>
    <col min="5387" max="5387" width="18.33203125" style="49" customWidth="1"/>
    <col min="5388" max="5388" width="16.44140625" style="49" customWidth="1"/>
    <col min="5389" max="5389" width="9.44140625" style="49" bestFit="1" customWidth="1"/>
    <col min="5390" max="5390" width="17.6640625" style="49" customWidth="1"/>
    <col min="5391" max="5391" width="14.77734375" style="49" bestFit="1" customWidth="1"/>
    <col min="5392" max="5602" width="8.77734375" style="49"/>
    <col min="5603" max="5603" width="24.109375" style="49" customWidth="1"/>
    <col min="5604" max="5606" width="16.44140625" style="49" customWidth="1"/>
    <col min="5607" max="5607" width="18" style="49" customWidth="1"/>
    <col min="5608" max="5608" width="16.44140625" style="49" customWidth="1"/>
    <col min="5609" max="5609" width="4" style="49" customWidth="1"/>
    <col min="5610" max="5612" width="9.33203125" style="49" customWidth="1"/>
    <col min="5613" max="5613" width="22.44140625" style="49" customWidth="1"/>
    <col min="5614" max="5614" width="3.77734375" style="49" customWidth="1"/>
    <col min="5615" max="5615" width="16.44140625" style="49" customWidth="1"/>
    <col min="5616" max="5616" width="17.33203125" style="49" customWidth="1"/>
    <col min="5617" max="5620" width="16.44140625" style="49" customWidth="1"/>
    <col min="5621" max="5622" width="9.33203125" style="49" customWidth="1"/>
    <col min="5623" max="5623" width="18.77734375" style="49" customWidth="1"/>
    <col min="5624" max="5624" width="16.44140625" style="49" customWidth="1"/>
    <col min="5625" max="5625" width="17.77734375" style="49" customWidth="1"/>
    <col min="5626" max="5628" width="16.44140625" style="49" customWidth="1"/>
    <col min="5629" max="5629" width="17.77734375" style="49" bestFit="1" customWidth="1"/>
    <col min="5630" max="5630" width="16.44140625" style="49" customWidth="1"/>
    <col min="5631" max="5631" width="21" style="49" customWidth="1"/>
    <col min="5632" max="5632" width="16.44140625" style="49" customWidth="1"/>
    <col min="5633" max="5633" width="18.33203125" style="49" bestFit="1" customWidth="1"/>
    <col min="5634" max="5634" width="19.109375" style="49" customWidth="1"/>
    <col min="5635" max="5636" width="18.33203125" style="49" customWidth="1"/>
    <col min="5637" max="5637" width="8.77734375" style="49"/>
    <col min="5638" max="5639" width="16.77734375" style="49" customWidth="1"/>
    <col min="5640" max="5641" width="11.6640625" style="49" customWidth="1"/>
    <col min="5642" max="5642" width="8.77734375" style="49"/>
    <col min="5643" max="5643" width="18.33203125" style="49" customWidth="1"/>
    <col min="5644" max="5644" width="16.44140625" style="49" customWidth="1"/>
    <col min="5645" max="5645" width="9.44140625" style="49" bestFit="1" customWidth="1"/>
    <col min="5646" max="5646" width="17.6640625" style="49" customWidth="1"/>
    <col min="5647" max="5647" width="14.77734375" style="49" bestFit="1" customWidth="1"/>
    <col min="5648" max="5858" width="8.77734375" style="49"/>
    <col min="5859" max="5859" width="24.109375" style="49" customWidth="1"/>
    <col min="5860" max="5862" width="16.44140625" style="49" customWidth="1"/>
    <col min="5863" max="5863" width="18" style="49" customWidth="1"/>
    <col min="5864" max="5864" width="16.44140625" style="49" customWidth="1"/>
    <col min="5865" max="5865" width="4" style="49" customWidth="1"/>
    <col min="5866" max="5868" width="9.33203125" style="49" customWidth="1"/>
    <col min="5869" max="5869" width="22.44140625" style="49" customWidth="1"/>
    <col min="5870" max="5870" width="3.77734375" style="49" customWidth="1"/>
    <col min="5871" max="5871" width="16.44140625" style="49" customWidth="1"/>
    <col min="5872" max="5872" width="17.33203125" style="49" customWidth="1"/>
    <col min="5873" max="5876" width="16.44140625" style="49" customWidth="1"/>
    <col min="5877" max="5878" width="9.33203125" style="49" customWidth="1"/>
    <col min="5879" max="5879" width="18.77734375" style="49" customWidth="1"/>
    <col min="5880" max="5880" width="16.44140625" style="49" customWidth="1"/>
    <col min="5881" max="5881" width="17.77734375" style="49" customWidth="1"/>
    <col min="5882" max="5884" width="16.44140625" style="49" customWidth="1"/>
    <col min="5885" max="5885" width="17.77734375" style="49" bestFit="1" customWidth="1"/>
    <col min="5886" max="5886" width="16.44140625" style="49" customWidth="1"/>
    <col min="5887" max="5887" width="21" style="49" customWidth="1"/>
    <col min="5888" max="5888" width="16.44140625" style="49" customWidth="1"/>
    <col min="5889" max="5889" width="18.33203125" style="49" bestFit="1" customWidth="1"/>
    <col min="5890" max="5890" width="19.109375" style="49" customWidth="1"/>
    <col min="5891" max="5892" width="18.33203125" style="49" customWidth="1"/>
    <col min="5893" max="5893" width="8.77734375" style="49"/>
    <col min="5894" max="5895" width="16.77734375" style="49" customWidth="1"/>
    <col min="5896" max="5897" width="11.6640625" style="49" customWidth="1"/>
    <col min="5898" max="5898" width="8.77734375" style="49"/>
    <col min="5899" max="5899" width="18.33203125" style="49" customWidth="1"/>
    <col min="5900" max="5900" width="16.44140625" style="49" customWidth="1"/>
    <col min="5901" max="5901" width="9.44140625" style="49" bestFit="1" customWidth="1"/>
    <col min="5902" max="5902" width="17.6640625" style="49" customWidth="1"/>
    <col min="5903" max="5903" width="14.77734375" style="49" bestFit="1" customWidth="1"/>
    <col min="5904" max="6114" width="8.77734375" style="49"/>
    <col min="6115" max="6115" width="24.109375" style="49" customWidth="1"/>
    <col min="6116" max="6118" width="16.44140625" style="49" customWidth="1"/>
    <col min="6119" max="6119" width="18" style="49" customWidth="1"/>
    <col min="6120" max="6120" width="16.44140625" style="49" customWidth="1"/>
    <col min="6121" max="6121" width="4" style="49" customWidth="1"/>
    <col min="6122" max="6124" width="9.33203125" style="49" customWidth="1"/>
    <col min="6125" max="6125" width="22.44140625" style="49" customWidth="1"/>
    <col min="6126" max="6126" width="3.77734375" style="49" customWidth="1"/>
    <col min="6127" max="6127" width="16.44140625" style="49" customWidth="1"/>
    <col min="6128" max="6128" width="17.33203125" style="49" customWidth="1"/>
    <col min="6129" max="6132" width="16.44140625" style="49" customWidth="1"/>
    <col min="6133" max="6134" width="9.33203125" style="49" customWidth="1"/>
    <col min="6135" max="6135" width="18.77734375" style="49" customWidth="1"/>
    <col min="6136" max="6136" width="16.44140625" style="49" customWidth="1"/>
    <col min="6137" max="6137" width="17.77734375" style="49" customWidth="1"/>
    <col min="6138" max="6140" width="16.44140625" style="49" customWidth="1"/>
    <col min="6141" max="6141" width="17.77734375" style="49" bestFit="1" customWidth="1"/>
    <col min="6142" max="6142" width="16.44140625" style="49" customWidth="1"/>
    <col min="6143" max="6143" width="21" style="49" customWidth="1"/>
    <col min="6144" max="6144" width="16.44140625" style="49" customWidth="1"/>
    <col min="6145" max="6145" width="18.33203125" style="49" bestFit="1" customWidth="1"/>
    <col min="6146" max="6146" width="19.109375" style="49" customWidth="1"/>
    <col min="6147" max="6148" width="18.33203125" style="49" customWidth="1"/>
    <col min="6149" max="6149" width="8.77734375" style="49"/>
    <col min="6150" max="6151" width="16.77734375" style="49" customWidth="1"/>
    <col min="6152" max="6153" width="11.6640625" style="49" customWidth="1"/>
    <col min="6154" max="6154" width="8.77734375" style="49"/>
    <col min="6155" max="6155" width="18.33203125" style="49" customWidth="1"/>
    <col min="6156" max="6156" width="16.44140625" style="49" customWidth="1"/>
    <col min="6157" max="6157" width="9.44140625" style="49" bestFit="1" customWidth="1"/>
    <col min="6158" max="6158" width="17.6640625" style="49" customWidth="1"/>
    <col min="6159" max="6159" width="14.77734375" style="49" bestFit="1" customWidth="1"/>
    <col min="6160" max="6370" width="8.77734375" style="49"/>
    <col min="6371" max="6371" width="24.109375" style="49" customWidth="1"/>
    <col min="6372" max="6374" width="16.44140625" style="49" customWidth="1"/>
    <col min="6375" max="6375" width="18" style="49" customWidth="1"/>
    <col min="6376" max="6376" width="16.44140625" style="49" customWidth="1"/>
    <col min="6377" max="6377" width="4" style="49" customWidth="1"/>
    <col min="6378" max="6380" width="9.33203125" style="49" customWidth="1"/>
    <col min="6381" max="6381" width="22.44140625" style="49" customWidth="1"/>
    <col min="6382" max="6382" width="3.77734375" style="49" customWidth="1"/>
    <col min="6383" max="6383" width="16.44140625" style="49" customWidth="1"/>
    <col min="6384" max="6384" width="17.33203125" style="49" customWidth="1"/>
    <col min="6385" max="6388" width="16.44140625" style="49" customWidth="1"/>
    <col min="6389" max="6390" width="9.33203125" style="49" customWidth="1"/>
    <col min="6391" max="6391" width="18.77734375" style="49" customWidth="1"/>
    <col min="6392" max="6392" width="16.44140625" style="49" customWidth="1"/>
    <col min="6393" max="6393" width="17.77734375" style="49" customWidth="1"/>
    <col min="6394" max="6396" width="16.44140625" style="49" customWidth="1"/>
    <col min="6397" max="6397" width="17.77734375" style="49" bestFit="1" customWidth="1"/>
    <col min="6398" max="6398" width="16.44140625" style="49" customWidth="1"/>
    <col min="6399" max="6399" width="21" style="49" customWidth="1"/>
    <col min="6400" max="6400" width="16.44140625" style="49" customWidth="1"/>
    <col min="6401" max="6401" width="18.33203125" style="49" bestFit="1" customWidth="1"/>
    <col min="6402" max="6402" width="19.109375" style="49" customWidth="1"/>
    <col min="6403" max="6404" width="18.33203125" style="49" customWidth="1"/>
    <col min="6405" max="6405" width="8.77734375" style="49"/>
    <col min="6406" max="6407" width="16.77734375" style="49" customWidth="1"/>
    <col min="6408" max="6409" width="11.6640625" style="49" customWidth="1"/>
    <col min="6410" max="6410" width="8.77734375" style="49"/>
    <col min="6411" max="6411" width="18.33203125" style="49" customWidth="1"/>
    <col min="6412" max="6412" width="16.44140625" style="49" customWidth="1"/>
    <col min="6413" max="6413" width="9.44140625" style="49" bestFit="1" customWidth="1"/>
    <col min="6414" max="6414" width="17.6640625" style="49" customWidth="1"/>
    <col min="6415" max="6415" width="14.77734375" style="49" bestFit="1" customWidth="1"/>
    <col min="6416" max="6626" width="8.77734375" style="49"/>
    <col min="6627" max="6627" width="24.109375" style="49" customWidth="1"/>
    <col min="6628" max="6630" width="16.44140625" style="49" customWidth="1"/>
    <col min="6631" max="6631" width="18" style="49" customWidth="1"/>
    <col min="6632" max="6632" width="16.44140625" style="49" customWidth="1"/>
    <col min="6633" max="6633" width="4" style="49" customWidth="1"/>
    <col min="6634" max="6636" width="9.33203125" style="49" customWidth="1"/>
    <col min="6637" max="6637" width="22.44140625" style="49" customWidth="1"/>
    <col min="6638" max="6638" width="3.77734375" style="49" customWidth="1"/>
    <col min="6639" max="6639" width="16.44140625" style="49" customWidth="1"/>
    <col min="6640" max="6640" width="17.33203125" style="49" customWidth="1"/>
    <col min="6641" max="6644" width="16.44140625" style="49" customWidth="1"/>
    <col min="6645" max="6646" width="9.33203125" style="49" customWidth="1"/>
    <col min="6647" max="6647" width="18.77734375" style="49" customWidth="1"/>
    <col min="6648" max="6648" width="16.44140625" style="49" customWidth="1"/>
    <col min="6649" max="6649" width="17.77734375" style="49" customWidth="1"/>
    <col min="6650" max="6652" width="16.44140625" style="49" customWidth="1"/>
    <col min="6653" max="6653" width="17.77734375" style="49" bestFit="1" customWidth="1"/>
    <col min="6654" max="6654" width="16.44140625" style="49" customWidth="1"/>
    <col min="6655" max="6655" width="21" style="49" customWidth="1"/>
    <col min="6656" max="6656" width="16.44140625" style="49" customWidth="1"/>
    <col min="6657" max="6657" width="18.33203125" style="49" bestFit="1" customWidth="1"/>
    <col min="6658" max="6658" width="19.109375" style="49" customWidth="1"/>
    <col min="6659" max="6660" width="18.33203125" style="49" customWidth="1"/>
    <col min="6661" max="6661" width="8.77734375" style="49"/>
    <col min="6662" max="6663" width="16.77734375" style="49" customWidth="1"/>
    <col min="6664" max="6665" width="11.6640625" style="49" customWidth="1"/>
    <col min="6666" max="6666" width="8.77734375" style="49"/>
    <col min="6667" max="6667" width="18.33203125" style="49" customWidth="1"/>
    <col min="6668" max="6668" width="16.44140625" style="49" customWidth="1"/>
    <col min="6669" max="6669" width="9.44140625" style="49" bestFit="1" customWidth="1"/>
    <col min="6670" max="6670" width="17.6640625" style="49" customWidth="1"/>
    <col min="6671" max="6671" width="14.77734375" style="49" bestFit="1" customWidth="1"/>
    <col min="6672" max="6882" width="8.77734375" style="49"/>
    <col min="6883" max="6883" width="24.109375" style="49" customWidth="1"/>
    <col min="6884" max="6886" width="16.44140625" style="49" customWidth="1"/>
    <col min="6887" max="6887" width="18" style="49" customWidth="1"/>
    <col min="6888" max="6888" width="16.44140625" style="49" customWidth="1"/>
    <col min="6889" max="6889" width="4" style="49" customWidth="1"/>
    <col min="6890" max="6892" width="9.33203125" style="49" customWidth="1"/>
    <col min="6893" max="6893" width="22.44140625" style="49" customWidth="1"/>
    <col min="6894" max="6894" width="3.77734375" style="49" customWidth="1"/>
    <col min="6895" max="6895" width="16.44140625" style="49" customWidth="1"/>
    <col min="6896" max="6896" width="17.33203125" style="49" customWidth="1"/>
    <col min="6897" max="6900" width="16.44140625" style="49" customWidth="1"/>
    <col min="6901" max="6902" width="9.33203125" style="49" customWidth="1"/>
    <col min="6903" max="6903" width="18.77734375" style="49" customWidth="1"/>
    <col min="6904" max="6904" width="16.44140625" style="49" customWidth="1"/>
    <col min="6905" max="6905" width="17.77734375" style="49" customWidth="1"/>
    <col min="6906" max="6908" width="16.44140625" style="49" customWidth="1"/>
    <col min="6909" max="6909" width="17.77734375" style="49" bestFit="1" customWidth="1"/>
    <col min="6910" max="6910" width="16.44140625" style="49" customWidth="1"/>
    <col min="6911" max="6911" width="21" style="49" customWidth="1"/>
    <col min="6912" max="6912" width="16.44140625" style="49" customWidth="1"/>
    <col min="6913" max="6913" width="18.33203125" style="49" bestFit="1" customWidth="1"/>
    <col min="6914" max="6914" width="19.109375" style="49" customWidth="1"/>
    <col min="6915" max="6916" width="18.33203125" style="49" customWidth="1"/>
    <col min="6917" max="6917" width="8.77734375" style="49"/>
    <col min="6918" max="6919" width="16.77734375" style="49" customWidth="1"/>
    <col min="6920" max="6921" width="11.6640625" style="49" customWidth="1"/>
    <col min="6922" max="6922" width="8.77734375" style="49"/>
    <col min="6923" max="6923" width="18.33203125" style="49" customWidth="1"/>
    <col min="6924" max="6924" width="16.44140625" style="49" customWidth="1"/>
    <col min="6925" max="6925" width="9.44140625" style="49" bestFit="1" customWidth="1"/>
    <col min="6926" max="6926" width="17.6640625" style="49" customWidth="1"/>
    <col min="6927" max="6927" width="14.77734375" style="49" bestFit="1" customWidth="1"/>
    <col min="6928" max="7138" width="8.77734375" style="49"/>
    <col min="7139" max="7139" width="24.109375" style="49" customWidth="1"/>
    <col min="7140" max="7142" width="16.44140625" style="49" customWidth="1"/>
    <col min="7143" max="7143" width="18" style="49" customWidth="1"/>
    <col min="7144" max="7144" width="16.44140625" style="49" customWidth="1"/>
    <col min="7145" max="7145" width="4" style="49" customWidth="1"/>
    <col min="7146" max="7148" width="9.33203125" style="49" customWidth="1"/>
    <col min="7149" max="7149" width="22.44140625" style="49" customWidth="1"/>
    <col min="7150" max="7150" width="3.77734375" style="49" customWidth="1"/>
    <col min="7151" max="7151" width="16.44140625" style="49" customWidth="1"/>
    <col min="7152" max="7152" width="17.33203125" style="49" customWidth="1"/>
    <col min="7153" max="7156" width="16.44140625" style="49" customWidth="1"/>
    <col min="7157" max="7158" width="9.33203125" style="49" customWidth="1"/>
    <col min="7159" max="7159" width="18.77734375" style="49" customWidth="1"/>
    <col min="7160" max="7160" width="16.44140625" style="49" customWidth="1"/>
    <col min="7161" max="7161" width="17.77734375" style="49" customWidth="1"/>
    <col min="7162" max="7164" width="16.44140625" style="49" customWidth="1"/>
    <col min="7165" max="7165" width="17.77734375" style="49" bestFit="1" customWidth="1"/>
    <col min="7166" max="7166" width="16.44140625" style="49" customWidth="1"/>
    <col min="7167" max="7167" width="21" style="49" customWidth="1"/>
    <col min="7168" max="7168" width="16.44140625" style="49" customWidth="1"/>
    <col min="7169" max="7169" width="18.33203125" style="49" bestFit="1" customWidth="1"/>
    <col min="7170" max="7170" width="19.109375" style="49" customWidth="1"/>
    <col min="7171" max="7172" width="18.33203125" style="49" customWidth="1"/>
    <col min="7173" max="7173" width="8.77734375" style="49"/>
    <col min="7174" max="7175" width="16.77734375" style="49" customWidth="1"/>
    <col min="7176" max="7177" width="11.6640625" style="49" customWidth="1"/>
    <col min="7178" max="7178" width="8.77734375" style="49"/>
    <col min="7179" max="7179" width="18.33203125" style="49" customWidth="1"/>
    <col min="7180" max="7180" width="16.44140625" style="49" customWidth="1"/>
    <col min="7181" max="7181" width="9.44140625" style="49" bestFit="1" customWidth="1"/>
    <col min="7182" max="7182" width="17.6640625" style="49" customWidth="1"/>
    <col min="7183" max="7183" width="14.77734375" style="49" bestFit="1" customWidth="1"/>
    <col min="7184" max="7394" width="8.77734375" style="49"/>
    <col min="7395" max="7395" width="24.109375" style="49" customWidth="1"/>
    <col min="7396" max="7398" width="16.44140625" style="49" customWidth="1"/>
    <col min="7399" max="7399" width="18" style="49" customWidth="1"/>
    <col min="7400" max="7400" width="16.44140625" style="49" customWidth="1"/>
    <col min="7401" max="7401" width="4" style="49" customWidth="1"/>
    <col min="7402" max="7404" width="9.33203125" style="49" customWidth="1"/>
    <col min="7405" max="7405" width="22.44140625" style="49" customWidth="1"/>
    <col min="7406" max="7406" width="3.77734375" style="49" customWidth="1"/>
    <col min="7407" max="7407" width="16.44140625" style="49" customWidth="1"/>
    <col min="7408" max="7408" width="17.33203125" style="49" customWidth="1"/>
    <col min="7409" max="7412" width="16.44140625" style="49" customWidth="1"/>
    <col min="7413" max="7414" width="9.33203125" style="49" customWidth="1"/>
    <col min="7415" max="7415" width="18.77734375" style="49" customWidth="1"/>
    <col min="7416" max="7416" width="16.44140625" style="49" customWidth="1"/>
    <col min="7417" max="7417" width="17.77734375" style="49" customWidth="1"/>
    <col min="7418" max="7420" width="16.44140625" style="49" customWidth="1"/>
    <col min="7421" max="7421" width="17.77734375" style="49" bestFit="1" customWidth="1"/>
    <col min="7422" max="7422" width="16.44140625" style="49" customWidth="1"/>
    <col min="7423" max="7423" width="21" style="49" customWidth="1"/>
    <col min="7424" max="7424" width="16.44140625" style="49" customWidth="1"/>
    <col min="7425" max="7425" width="18.33203125" style="49" bestFit="1" customWidth="1"/>
    <col min="7426" max="7426" width="19.109375" style="49" customWidth="1"/>
    <col min="7427" max="7428" width="18.33203125" style="49" customWidth="1"/>
    <col min="7429" max="7429" width="8.77734375" style="49"/>
    <col min="7430" max="7431" width="16.77734375" style="49" customWidth="1"/>
    <col min="7432" max="7433" width="11.6640625" style="49" customWidth="1"/>
    <col min="7434" max="7434" width="8.77734375" style="49"/>
    <col min="7435" max="7435" width="18.33203125" style="49" customWidth="1"/>
    <col min="7436" max="7436" width="16.44140625" style="49" customWidth="1"/>
    <col min="7437" max="7437" width="9.44140625" style="49" bestFit="1" customWidth="1"/>
    <col min="7438" max="7438" width="17.6640625" style="49" customWidth="1"/>
    <col min="7439" max="7439" width="14.77734375" style="49" bestFit="1" customWidth="1"/>
    <col min="7440" max="7650" width="8.77734375" style="49"/>
    <col min="7651" max="7651" width="24.109375" style="49" customWidth="1"/>
    <col min="7652" max="7654" width="16.44140625" style="49" customWidth="1"/>
    <col min="7655" max="7655" width="18" style="49" customWidth="1"/>
    <col min="7656" max="7656" width="16.44140625" style="49" customWidth="1"/>
    <col min="7657" max="7657" width="4" style="49" customWidth="1"/>
    <col min="7658" max="7660" width="9.33203125" style="49" customWidth="1"/>
    <col min="7661" max="7661" width="22.44140625" style="49" customWidth="1"/>
    <col min="7662" max="7662" width="3.77734375" style="49" customWidth="1"/>
    <col min="7663" max="7663" width="16.44140625" style="49" customWidth="1"/>
    <col min="7664" max="7664" width="17.33203125" style="49" customWidth="1"/>
    <col min="7665" max="7668" width="16.44140625" style="49" customWidth="1"/>
    <col min="7669" max="7670" width="9.33203125" style="49" customWidth="1"/>
    <col min="7671" max="7671" width="18.77734375" style="49" customWidth="1"/>
    <col min="7672" max="7672" width="16.44140625" style="49" customWidth="1"/>
    <col min="7673" max="7673" width="17.77734375" style="49" customWidth="1"/>
    <col min="7674" max="7676" width="16.44140625" style="49" customWidth="1"/>
    <col min="7677" max="7677" width="17.77734375" style="49" bestFit="1" customWidth="1"/>
    <col min="7678" max="7678" width="16.44140625" style="49" customWidth="1"/>
    <col min="7679" max="7679" width="21" style="49" customWidth="1"/>
    <col min="7680" max="7680" width="16.44140625" style="49" customWidth="1"/>
    <col min="7681" max="7681" width="18.33203125" style="49" bestFit="1" customWidth="1"/>
    <col min="7682" max="7682" width="19.109375" style="49" customWidth="1"/>
    <col min="7683" max="7684" width="18.33203125" style="49" customWidth="1"/>
    <col min="7685" max="7685" width="8.77734375" style="49"/>
    <col min="7686" max="7687" width="16.77734375" style="49" customWidth="1"/>
    <col min="7688" max="7689" width="11.6640625" style="49" customWidth="1"/>
    <col min="7690" max="7690" width="8.77734375" style="49"/>
    <col min="7691" max="7691" width="18.33203125" style="49" customWidth="1"/>
    <col min="7692" max="7692" width="16.44140625" style="49" customWidth="1"/>
    <col min="7693" max="7693" width="9.44140625" style="49" bestFit="1" customWidth="1"/>
    <col min="7694" max="7694" width="17.6640625" style="49" customWidth="1"/>
    <col min="7695" max="7695" width="14.77734375" style="49" bestFit="1" customWidth="1"/>
    <col min="7696" max="7906" width="8.77734375" style="49"/>
    <col min="7907" max="7907" width="24.109375" style="49" customWidth="1"/>
    <col min="7908" max="7910" width="16.44140625" style="49" customWidth="1"/>
    <col min="7911" max="7911" width="18" style="49" customWidth="1"/>
    <col min="7912" max="7912" width="16.44140625" style="49" customWidth="1"/>
    <col min="7913" max="7913" width="4" style="49" customWidth="1"/>
    <col min="7914" max="7916" width="9.33203125" style="49" customWidth="1"/>
    <col min="7917" max="7917" width="22.44140625" style="49" customWidth="1"/>
    <col min="7918" max="7918" width="3.77734375" style="49" customWidth="1"/>
    <col min="7919" max="7919" width="16.44140625" style="49" customWidth="1"/>
    <col min="7920" max="7920" width="17.33203125" style="49" customWidth="1"/>
    <col min="7921" max="7924" width="16.44140625" style="49" customWidth="1"/>
    <col min="7925" max="7926" width="9.33203125" style="49" customWidth="1"/>
    <col min="7927" max="7927" width="18.77734375" style="49" customWidth="1"/>
    <col min="7928" max="7928" width="16.44140625" style="49" customWidth="1"/>
    <col min="7929" max="7929" width="17.77734375" style="49" customWidth="1"/>
    <col min="7930" max="7932" width="16.44140625" style="49" customWidth="1"/>
    <col min="7933" max="7933" width="17.77734375" style="49" bestFit="1" customWidth="1"/>
    <col min="7934" max="7934" width="16.44140625" style="49" customWidth="1"/>
    <col min="7935" max="7935" width="21" style="49" customWidth="1"/>
    <col min="7936" max="7936" width="16.44140625" style="49" customWidth="1"/>
    <col min="7937" max="7937" width="18.33203125" style="49" bestFit="1" customWidth="1"/>
    <col min="7938" max="7938" width="19.109375" style="49" customWidth="1"/>
    <col min="7939" max="7940" width="18.33203125" style="49" customWidth="1"/>
    <col min="7941" max="7941" width="8.77734375" style="49"/>
    <col min="7942" max="7943" width="16.77734375" style="49" customWidth="1"/>
    <col min="7944" max="7945" width="11.6640625" style="49" customWidth="1"/>
    <col min="7946" max="7946" width="8.77734375" style="49"/>
    <col min="7947" max="7947" width="18.33203125" style="49" customWidth="1"/>
    <col min="7948" max="7948" width="16.44140625" style="49" customWidth="1"/>
    <col min="7949" max="7949" width="9.44140625" style="49" bestFit="1" customWidth="1"/>
    <col min="7950" max="7950" width="17.6640625" style="49" customWidth="1"/>
    <col min="7951" max="7951" width="14.77734375" style="49" bestFit="1" customWidth="1"/>
    <col min="7952" max="8162" width="8.77734375" style="49"/>
    <col min="8163" max="8163" width="24.109375" style="49" customWidth="1"/>
    <col min="8164" max="8166" width="16.44140625" style="49" customWidth="1"/>
    <col min="8167" max="8167" width="18" style="49" customWidth="1"/>
    <col min="8168" max="8168" width="16.44140625" style="49" customWidth="1"/>
    <col min="8169" max="8169" width="4" style="49" customWidth="1"/>
    <col min="8170" max="8172" width="9.33203125" style="49" customWidth="1"/>
    <col min="8173" max="8173" width="22.44140625" style="49" customWidth="1"/>
    <col min="8174" max="8174" width="3.77734375" style="49" customWidth="1"/>
    <col min="8175" max="8175" width="16.44140625" style="49" customWidth="1"/>
    <col min="8176" max="8176" width="17.33203125" style="49" customWidth="1"/>
    <col min="8177" max="8180" width="16.44140625" style="49" customWidth="1"/>
    <col min="8181" max="8182" width="9.33203125" style="49" customWidth="1"/>
    <col min="8183" max="8183" width="18.77734375" style="49" customWidth="1"/>
    <col min="8184" max="8184" width="16.44140625" style="49" customWidth="1"/>
    <col min="8185" max="8185" width="17.77734375" style="49" customWidth="1"/>
    <col min="8186" max="8188" width="16.44140625" style="49" customWidth="1"/>
    <col min="8189" max="8189" width="17.77734375" style="49" bestFit="1" customWidth="1"/>
    <col min="8190" max="8190" width="16.44140625" style="49" customWidth="1"/>
    <col min="8191" max="8191" width="21" style="49" customWidth="1"/>
    <col min="8192" max="8192" width="16.44140625" style="49" customWidth="1"/>
    <col min="8193" max="8193" width="18.33203125" style="49" bestFit="1" customWidth="1"/>
    <col min="8194" max="8194" width="19.109375" style="49" customWidth="1"/>
    <col min="8195" max="8196" width="18.33203125" style="49" customWidth="1"/>
    <col min="8197" max="8197" width="8.77734375" style="49"/>
    <col min="8198" max="8199" width="16.77734375" style="49" customWidth="1"/>
    <col min="8200" max="8201" width="11.6640625" style="49" customWidth="1"/>
    <col min="8202" max="8202" width="8.77734375" style="49"/>
    <col min="8203" max="8203" width="18.33203125" style="49" customWidth="1"/>
    <col min="8204" max="8204" width="16.44140625" style="49" customWidth="1"/>
    <col min="8205" max="8205" width="9.44140625" style="49" bestFit="1" customWidth="1"/>
    <col min="8206" max="8206" width="17.6640625" style="49" customWidth="1"/>
    <col min="8207" max="8207" width="14.77734375" style="49" bestFit="1" customWidth="1"/>
    <col min="8208" max="8418" width="8.77734375" style="49"/>
    <col min="8419" max="8419" width="24.109375" style="49" customWidth="1"/>
    <col min="8420" max="8422" width="16.44140625" style="49" customWidth="1"/>
    <col min="8423" max="8423" width="18" style="49" customWidth="1"/>
    <col min="8424" max="8424" width="16.44140625" style="49" customWidth="1"/>
    <col min="8425" max="8425" width="4" style="49" customWidth="1"/>
    <col min="8426" max="8428" width="9.33203125" style="49" customWidth="1"/>
    <col min="8429" max="8429" width="22.44140625" style="49" customWidth="1"/>
    <col min="8430" max="8430" width="3.77734375" style="49" customWidth="1"/>
    <col min="8431" max="8431" width="16.44140625" style="49" customWidth="1"/>
    <col min="8432" max="8432" width="17.33203125" style="49" customWidth="1"/>
    <col min="8433" max="8436" width="16.44140625" style="49" customWidth="1"/>
    <col min="8437" max="8438" width="9.33203125" style="49" customWidth="1"/>
    <col min="8439" max="8439" width="18.77734375" style="49" customWidth="1"/>
    <col min="8440" max="8440" width="16.44140625" style="49" customWidth="1"/>
    <col min="8441" max="8441" width="17.77734375" style="49" customWidth="1"/>
    <col min="8442" max="8444" width="16.44140625" style="49" customWidth="1"/>
    <col min="8445" max="8445" width="17.77734375" style="49" bestFit="1" customWidth="1"/>
    <col min="8446" max="8446" width="16.44140625" style="49" customWidth="1"/>
    <col min="8447" max="8447" width="21" style="49" customWidth="1"/>
    <col min="8448" max="8448" width="16.44140625" style="49" customWidth="1"/>
    <col min="8449" max="8449" width="18.33203125" style="49" bestFit="1" customWidth="1"/>
    <col min="8450" max="8450" width="19.109375" style="49" customWidth="1"/>
    <col min="8451" max="8452" width="18.33203125" style="49" customWidth="1"/>
    <col min="8453" max="8453" width="8.77734375" style="49"/>
    <col min="8454" max="8455" width="16.77734375" style="49" customWidth="1"/>
    <col min="8456" max="8457" width="11.6640625" style="49" customWidth="1"/>
    <col min="8458" max="8458" width="8.77734375" style="49"/>
    <col min="8459" max="8459" width="18.33203125" style="49" customWidth="1"/>
    <col min="8460" max="8460" width="16.44140625" style="49" customWidth="1"/>
    <col min="8461" max="8461" width="9.44140625" style="49" bestFit="1" customWidth="1"/>
    <col min="8462" max="8462" width="17.6640625" style="49" customWidth="1"/>
    <col min="8463" max="8463" width="14.77734375" style="49" bestFit="1" customWidth="1"/>
    <col min="8464" max="8674" width="8.77734375" style="49"/>
    <col min="8675" max="8675" width="24.109375" style="49" customWidth="1"/>
    <col min="8676" max="8678" width="16.44140625" style="49" customWidth="1"/>
    <col min="8679" max="8679" width="18" style="49" customWidth="1"/>
    <col min="8680" max="8680" width="16.44140625" style="49" customWidth="1"/>
    <col min="8681" max="8681" width="4" style="49" customWidth="1"/>
    <col min="8682" max="8684" width="9.33203125" style="49" customWidth="1"/>
    <col min="8685" max="8685" width="22.44140625" style="49" customWidth="1"/>
    <col min="8686" max="8686" width="3.77734375" style="49" customWidth="1"/>
    <col min="8687" max="8687" width="16.44140625" style="49" customWidth="1"/>
    <col min="8688" max="8688" width="17.33203125" style="49" customWidth="1"/>
    <col min="8689" max="8692" width="16.44140625" style="49" customWidth="1"/>
    <col min="8693" max="8694" width="9.33203125" style="49" customWidth="1"/>
    <col min="8695" max="8695" width="18.77734375" style="49" customWidth="1"/>
    <col min="8696" max="8696" width="16.44140625" style="49" customWidth="1"/>
    <col min="8697" max="8697" width="17.77734375" style="49" customWidth="1"/>
    <col min="8698" max="8700" width="16.44140625" style="49" customWidth="1"/>
    <col min="8701" max="8701" width="17.77734375" style="49" bestFit="1" customWidth="1"/>
    <col min="8702" max="8702" width="16.44140625" style="49" customWidth="1"/>
    <col min="8703" max="8703" width="21" style="49" customWidth="1"/>
    <col min="8704" max="8704" width="16.44140625" style="49" customWidth="1"/>
    <col min="8705" max="8705" width="18.33203125" style="49" bestFit="1" customWidth="1"/>
    <col min="8706" max="8706" width="19.109375" style="49" customWidth="1"/>
    <col min="8707" max="8708" width="18.33203125" style="49" customWidth="1"/>
    <col min="8709" max="8709" width="8.77734375" style="49"/>
    <col min="8710" max="8711" width="16.77734375" style="49" customWidth="1"/>
    <col min="8712" max="8713" width="11.6640625" style="49" customWidth="1"/>
    <col min="8714" max="8714" width="8.77734375" style="49"/>
    <col min="8715" max="8715" width="18.33203125" style="49" customWidth="1"/>
    <col min="8716" max="8716" width="16.44140625" style="49" customWidth="1"/>
    <col min="8717" max="8717" width="9.44140625" style="49" bestFit="1" customWidth="1"/>
    <col min="8718" max="8718" width="17.6640625" style="49" customWidth="1"/>
    <col min="8719" max="8719" width="14.77734375" style="49" bestFit="1" customWidth="1"/>
    <col min="8720" max="8930" width="8.77734375" style="49"/>
    <col min="8931" max="8931" width="24.109375" style="49" customWidth="1"/>
    <col min="8932" max="8934" width="16.44140625" style="49" customWidth="1"/>
    <col min="8935" max="8935" width="18" style="49" customWidth="1"/>
    <col min="8936" max="8936" width="16.44140625" style="49" customWidth="1"/>
    <col min="8937" max="8937" width="4" style="49" customWidth="1"/>
    <col min="8938" max="8940" width="9.33203125" style="49" customWidth="1"/>
    <col min="8941" max="8941" width="22.44140625" style="49" customWidth="1"/>
    <col min="8942" max="8942" width="3.77734375" style="49" customWidth="1"/>
    <col min="8943" max="8943" width="16.44140625" style="49" customWidth="1"/>
    <col min="8944" max="8944" width="17.33203125" style="49" customWidth="1"/>
    <col min="8945" max="8948" width="16.44140625" style="49" customWidth="1"/>
    <col min="8949" max="8950" width="9.33203125" style="49" customWidth="1"/>
    <col min="8951" max="8951" width="18.77734375" style="49" customWidth="1"/>
    <col min="8952" max="8952" width="16.44140625" style="49" customWidth="1"/>
    <col min="8953" max="8953" width="17.77734375" style="49" customWidth="1"/>
    <col min="8954" max="8956" width="16.44140625" style="49" customWidth="1"/>
    <col min="8957" max="8957" width="17.77734375" style="49" bestFit="1" customWidth="1"/>
    <col min="8958" max="8958" width="16.44140625" style="49" customWidth="1"/>
    <col min="8959" max="8959" width="21" style="49" customWidth="1"/>
    <col min="8960" max="8960" width="16.44140625" style="49" customWidth="1"/>
    <col min="8961" max="8961" width="18.33203125" style="49" bestFit="1" customWidth="1"/>
    <col min="8962" max="8962" width="19.109375" style="49" customWidth="1"/>
    <col min="8963" max="8964" width="18.33203125" style="49" customWidth="1"/>
    <col min="8965" max="8965" width="8.77734375" style="49"/>
    <col min="8966" max="8967" width="16.77734375" style="49" customWidth="1"/>
    <col min="8968" max="8969" width="11.6640625" style="49" customWidth="1"/>
    <col min="8970" max="8970" width="8.77734375" style="49"/>
    <col min="8971" max="8971" width="18.33203125" style="49" customWidth="1"/>
    <col min="8972" max="8972" width="16.44140625" style="49" customWidth="1"/>
    <col min="8973" max="8973" width="9.44140625" style="49" bestFit="1" customWidth="1"/>
    <col min="8974" max="8974" width="17.6640625" style="49" customWidth="1"/>
    <col min="8975" max="8975" width="14.77734375" style="49" bestFit="1" customWidth="1"/>
    <col min="8976" max="9186" width="8.77734375" style="49"/>
    <col min="9187" max="9187" width="24.109375" style="49" customWidth="1"/>
    <col min="9188" max="9190" width="16.44140625" style="49" customWidth="1"/>
    <col min="9191" max="9191" width="18" style="49" customWidth="1"/>
    <col min="9192" max="9192" width="16.44140625" style="49" customWidth="1"/>
    <col min="9193" max="9193" width="4" style="49" customWidth="1"/>
    <col min="9194" max="9196" width="9.33203125" style="49" customWidth="1"/>
    <col min="9197" max="9197" width="22.44140625" style="49" customWidth="1"/>
    <col min="9198" max="9198" width="3.77734375" style="49" customWidth="1"/>
    <col min="9199" max="9199" width="16.44140625" style="49" customWidth="1"/>
    <col min="9200" max="9200" width="17.33203125" style="49" customWidth="1"/>
    <col min="9201" max="9204" width="16.44140625" style="49" customWidth="1"/>
    <col min="9205" max="9206" width="9.33203125" style="49" customWidth="1"/>
    <col min="9207" max="9207" width="18.77734375" style="49" customWidth="1"/>
    <col min="9208" max="9208" width="16.44140625" style="49" customWidth="1"/>
    <col min="9209" max="9209" width="17.77734375" style="49" customWidth="1"/>
    <col min="9210" max="9212" width="16.44140625" style="49" customWidth="1"/>
    <col min="9213" max="9213" width="17.77734375" style="49" bestFit="1" customWidth="1"/>
    <col min="9214" max="9214" width="16.44140625" style="49" customWidth="1"/>
    <col min="9215" max="9215" width="21" style="49" customWidth="1"/>
    <col min="9216" max="9216" width="16.44140625" style="49" customWidth="1"/>
    <col min="9217" max="9217" width="18.33203125" style="49" bestFit="1" customWidth="1"/>
    <col min="9218" max="9218" width="19.109375" style="49" customWidth="1"/>
    <col min="9219" max="9220" width="18.33203125" style="49" customWidth="1"/>
    <col min="9221" max="9221" width="8.77734375" style="49"/>
    <col min="9222" max="9223" width="16.77734375" style="49" customWidth="1"/>
    <col min="9224" max="9225" width="11.6640625" style="49" customWidth="1"/>
    <col min="9226" max="9226" width="8.77734375" style="49"/>
    <col min="9227" max="9227" width="18.33203125" style="49" customWidth="1"/>
    <col min="9228" max="9228" width="16.44140625" style="49" customWidth="1"/>
    <col min="9229" max="9229" width="9.44140625" style="49" bestFit="1" customWidth="1"/>
    <col min="9230" max="9230" width="17.6640625" style="49" customWidth="1"/>
    <col min="9231" max="9231" width="14.77734375" style="49" bestFit="1" customWidth="1"/>
    <col min="9232" max="9442" width="8.77734375" style="49"/>
    <col min="9443" max="9443" width="24.109375" style="49" customWidth="1"/>
    <col min="9444" max="9446" width="16.44140625" style="49" customWidth="1"/>
    <col min="9447" max="9447" width="18" style="49" customWidth="1"/>
    <col min="9448" max="9448" width="16.44140625" style="49" customWidth="1"/>
    <col min="9449" max="9449" width="4" style="49" customWidth="1"/>
    <col min="9450" max="9452" width="9.33203125" style="49" customWidth="1"/>
    <col min="9453" max="9453" width="22.44140625" style="49" customWidth="1"/>
    <col min="9454" max="9454" width="3.77734375" style="49" customWidth="1"/>
    <col min="9455" max="9455" width="16.44140625" style="49" customWidth="1"/>
    <col min="9456" max="9456" width="17.33203125" style="49" customWidth="1"/>
    <col min="9457" max="9460" width="16.44140625" style="49" customWidth="1"/>
    <col min="9461" max="9462" width="9.33203125" style="49" customWidth="1"/>
    <col min="9463" max="9463" width="18.77734375" style="49" customWidth="1"/>
    <col min="9464" max="9464" width="16.44140625" style="49" customWidth="1"/>
    <col min="9465" max="9465" width="17.77734375" style="49" customWidth="1"/>
    <col min="9466" max="9468" width="16.44140625" style="49" customWidth="1"/>
    <col min="9469" max="9469" width="17.77734375" style="49" bestFit="1" customWidth="1"/>
    <col min="9470" max="9470" width="16.44140625" style="49" customWidth="1"/>
    <col min="9471" max="9471" width="21" style="49" customWidth="1"/>
    <col min="9472" max="9472" width="16.44140625" style="49" customWidth="1"/>
    <col min="9473" max="9473" width="18.33203125" style="49" bestFit="1" customWidth="1"/>
    <col min="9474" max="9474" width="19.109375" style="49" customWidth="1"/>
    <col min="9475" max="9476" width="18.33203125" style="49" customWidth="1"/>
    <col min="9477" max="9477" width="8.77734375" style="49"/>
    <col min="9478" max="9479" width="16.77734375" style="49" customWidth="1"/>
    <col min="9480" max="9481" width="11.6640625" style="49" customWidth="1"/>
    <col min="9482" max="9482" width="8.77734375" style="49"/>
    <col min="9483" max="9483" width="18.33203125" style="49" customWidth="1"/>
    <col min="9484" max="9484" width="16.44140625" style="49" customWidth="1"/>
    <col min="9485" max="9485" width="9.44140625" style="49" bestFit="1" customWidth="1"/>
    <col min="9486" max="9486" width="17.6640625" style="49" customWidth="1"/>
    <col min="9487" max="9487" width="14.77734375" style="49" bestFit="1" customWidth="1"/>
    <col min="9488" max="9698" width="8.77734375" style="49"/>
    <col min="9699" max="9699" width="24.109375" style="49" customWidth="1"/>
    <col min="9700" max="9702" width="16.44140625" style="49" customWidth="1"/>
    <col min="9703" max="9703" width="18" style="49" customWidth="1"/>
    <col min="9704" max="9704" width="16.44140625" style="49" customWidth="1"/>
    <col min="9705" max="9705" width="4" style="49" customWidth="1"/>
    <col min="9706" max="9708" width="9.33203125" style="49" customWidth="1"/>
    <col min="9709" max="9709" width="22.44140625" style="49" customWidth="1"/>
    <col min="9710" max="9710" width="3.77734375" style="49" customWidth="1"/>
    <col min="9711" max="9711" width="16.44140625" style="49" customWidth="1"/>
    <col min="9712" max="9712" width="17.33203125" style="49" customWidth="1"/>
    <col min="9713" max="9716" width="16.44140625" style="49" customWidth="1"/>
    <col min="9717" max="9718" width="9.33203125" style="49" customWidth="1"/>
    <col min="9719" max="9719" width="18.77734375" style="49" customWidth="1"/>
    <col min="9720" max="9720" width="16.44140625" style="49" customWidth="1"/>
    <col min="9721" max="9721" width="17.77734375" style="49" customWidth="1"/>
    <col min="9722" max="9724" width="16.44140625" style="49" customWidth="1"/>
    <col min="9725" max="9725" width="17.77734375" style="49" bestFit="1" customWidth="1"/>
    <col min="9726" max="9726" width="16.44140625" style="49" customWidth="1"/>
    <col min="9727" max="9727" width="21" style="49" customWidth="1"/>
    <col min="9728" max="9728" width="16.44140625" style="49" customWidth="1"/>
    <col min="9729" max="9729" width="18.33203125" style="49" bestFit="1" customWidth="1"/>
    <col min="9730" max="9730" width="19.109375" style="49" customWidth="1"/>
    <col min="9731" max="9732" width="18.33203125" style="49" customWidth="1"/>
    <col min="9733" max="9733" width="8.77734375" style="49"/>
    <col min="9734" max="9735" width="16.77734375" style="49" customWidth="1"/>
    <col min="9736" max="9737" width="11.6640625" style="49" customWidth="1"/>
    <col min="9738" max="9738" width="8.77734375" style="49"/>
    <col min="9739" max="9739" width="18.33203125" style="49" customWidth="1"/>
    <col min="9740" max="9740" width="16.44140625" style="49" customWidth="1"/>
    <col min="9741" max="9741" width="9.44140625" style="49" bestFit="1" customWidth="1"/>
    <col min="9742" max="9742" width="17.6640625" style="49" customWidth="1"/>
    <col min="9743" max="9743" width="14.77734375" style="49" bestFit="1" customWidth="1"/>
    <col min="9744" max="9954" width="8.77734375" style="49"/>
    <col min="9955" max="9955" width="24.109375" style="49" customWidth="1"/>
    <col min="9956" max="9958" width="16.44140625" style="49" customWidth="1"/>
    <col min="9959" max="9959" width="18" style="49" customWidth="1"/>
    <col min="9960" max="9960" width="16.44140625" style="49" customWidth="1"/>
    <col min="9961" max="9961" width="4" style="49" customWidth="1"/>
    <col min="9962" max="9964" width="9.33203125" style="49" customWidth="1"/>
    <col min="9965" max="9965" width="22.44140625" style="49" customWidth="1"/>
    <col min="9966" max="9966" width="3.77734375" style="49" customWidth="1"/>
    <col min="9967" max="9967" width="16.44140625" style="49" customWidth="1"/>
    <col min="9968" max="9968" width="17.33203125" style="49" customWidth="1"/>
    <col min="9969" max="9972" width="16.44140625" style="49" customWidth="1"/>
    <col min="9973" max="9974" width="9.33203125" style="49" customWidth="1"/>
    <col min="9975" max="9975" width="18.77734375" style="49" customWidth="1"/>
    <col min="9976" max="9976" width="16.44140625" style="49" customWidth="1"/>
    <col min="9977" max="9977" width="17.77734375" style="49" customWidth="1"/>
    <col min="9978" max="9980" width="16.44140625" style="49" customWidth="1"/>
    <col min="9981" max="9981" width="17.77734375" style="49" bestFit="1" customWidth="1"/>
    <col min="9982" max="9982" width="16.44140625" style="49" customWidth="1"/>
    <col min="9983" max="9983" width="21" style="49" customWidth="1"/>
    <col min="9984" max="9984" width="16.44140625" style="49" customWidth="1"/>
    <col min="9985" max="9985" width="18.33203125" style="49" bestFit="1" customWidth="1"/>
    <col min="9986" max="9986" width="19.109375" style="49" customWidth="1"/>
    <col min="9987" max="9988" width="18.33203125" style="49" customWidth="1"/>
    <col min="9989" max="9989" width="8.77734375" style="49"/>
    <col min="9990" max="9991" width="16.77734375" style="49" customWidth="1"/>
    <col min="9992" max="9993" width="11.6640625" style="49" customWidth="1"/>
    <col min="9994" max="9994" width="8.77734375" style="49"/>
    <col min="9995" max="9995" width="18.33203125" style="49" customWidth="1"/>
    <col min="9996" max="9996" width="16.44140625" style="49" customWidth="1"/>
    <col min="9997" max="9997" width="9.44140625" style="49" bestFit="1" customWidth="1"/>
    <col min="9998" max="9998" width="17.6640625" style="49" customWidth="1"/>
    <col min="9999" max="9999" width="14.77734375" style="49" bestFit="1" customWidth="1"/>
    <col min="10000" max="10210" width="8.77734375" style="49"/>
    <col min="10211" max="10211" width="24.109375" style="49" customWidth="1"/>
    <col min="10212" max="10214" width="16.44140625" style="49" customWidth="1"/>
    <col min="10215" max="10215" width="18" style="49" customWidth="1"/>
    <col min="10216" max="10216" width="16.44140625" style="49" customWidth="1"/>
    <col min="10217" max="10217" width="4" style="49" customWidth="1"/>
    <col min="10218" max="10220" width="9.33203125" style="49" customWidth="1"/>
    <col min="10221" max="10221" width="22.44140625" style="49" customWidth="1"/>
    <col min="10222" max="10222" width="3.77734375" style="49" customWidth="1"/>
    <col min="10223" max="10223" width="16.44140625" style="49" customWidth="1"/>
    <col min="10224" max="10224" width="17.33203125" style="49" customWidth="1"/>
    <col min="10225" max="10228" width="16.44140625" style="49" customWidth="1"/>
    <col min="10229" max="10230" width="9.33203125" style="49" customWidth="1"/>
    <col min="10231" max="10231" width="18.77734375" style="49" customWidth="1"/>
    <col min="10232" max="10232" width="16.44140625" style="49" customWidth="1"/>
    <col min="10233" max="10233" width="17.77734375" style="49" customWidth="1"/>
    <col min="10234" max="10236" width="16.44140625" style="49" customWidth="1"/>
    <col min="10237" max="10237" width="17.77734375" style="49" bestFit="1" customWidth="1"/>
    <col min="10238" max="10238" width="16.44140625" style="49" customWidth="1"/>
    <col min="10239" max="10239" width="21" style="49" customWidth="1"/>
    <col min="10240" max="10240" width="16.44140625" style="49" customWidth="1"/>
    <col min="10241" max="10241" width="18.33203125" style="49" bestFit="1" customWidth="1"/>
    <col min="10242" max="10242" width="19.109375" style="49" customWidth="1"/>
    <col min="10243" max="10244" width="18.33203125" style="49" customWidth="1"/>
    <col min="10245" max="10245" width="8.77734375" style="49"/>
    <col min="10246" max="10247" width="16.77734375" style="49" customWidth="1"/>
    <col min="10248" max="10249" width="11.6640625" style="49" customWidth="1"/>
    <col min="10250" max="10250" width="8.77734375" style="49"/>
    <col min="10251" max="10251" width="18.33203125" style="49" customWidth="1"/>
    <col min="10252" max="10252" width="16.44140625" style="49" customWidth="1"/>
    <col min="10253" max="10253" width="9.44140625" style="49" bestFit="1" customWidth="1"/>
    <col min="10254" max="10254" width="17.6640625" style="49" customWidth="1"/>
    <col min="10255" max="10255" width="14.77734375" style="49" bestFit="1" customWidth="1"/>
    <col min="10256" max="10466" width="8.77734375" style="49"/>
    <col min="10467" max="10467" width="24.109375" style="49" customWidth="1"/>
    <col min="10468" max="10470" width="16.44140625" style="49" customWidth="1"/>
    <col min="10471" max="10471" width="18" style="49" customWidth="1"/>
    <col min="10472" max="10472" width="16.44140625" style="49" customWidth="1"/>
    <col min="10473" max="10473" width="4" style="49" customWidth="1"/>
    <col min="10474" max="10476" width="9.33203125" style="49" customWidth="1"/>
    <col min="10477" max="10477" width="22.44140625" style="49" customWidth="1"/>
    <col min="10478" max="10478" width="3.77734375" style="49" customWidth="1"/>
    <col min="10479" max="10479" width="16.44140625" style="49" customWidth="1"/>
    <col min="10480" max="10480" width="17.33203125" style="49" customWidth="1"/>
    <col min="10481" max="10484" width="16.44140625" style="49" customWidth="1"/>
    <col min="10485" max="10486" width="9.33203125" style="49" customWidth="1"/>
    <col min="10487" max="10487" width="18.77734375" style="49" customWidth="1"/>
    <col min="10488" max="10488" width="16.44140625" style="49" customWidth="1"/>
    <col min="10489" max="10489" width="17.77734375" style="49" customWidth="1"/>
    <col min="10490" max="10492" width="16.44140625" style="49" customWidth="1"/>
    <col min="10493" max="10493" width="17.77734375" style="49" bestFit="1" customWidth="1"/>
    <col min="10494" max="10494" width="16.44140625" style="49" customWidth="1"/>
    <col min="10495" max="10495" width="21" style="49" customWidth="1"/>
    <col min="10496" max="10496" width="16.44140625" style="49" customWidth="1"/>
    <col min="10497" max="10497" width="18.33203125" style="49" bestFit="1" customWidth="1"/>
    <col min="10498" max="10498" width="19.109375" style="49" customWidth="1"/>
    <col min="10499" max="10500" width="18.33203125" style="49" customWidth="1"/>
    <col min="10501" max="10501" width="8.77734375" style="49"/>
    <col min="10502" max="10503" width="16.77734375" style="49" customWidth="1"/>
    <col min="10504" max="10505" width="11.6640625" style="49" customWidth="1"/>
    <col min="10506" max="10506" width="8.77734375" style="49"/>
    <col min="10507" max="10507" width="18.33203125" style="49" customWidth="1"/>
    <col min="10508" max="10508" width="16.44140625" style="49" customWidth="1"/>
    <col min="10509" max="10509" width="9.44140625" style="49" bestFit="1" customWidth="1"/>
    <col min="10510" max="10510" width="17.6640625" style="49" customWidth="1"/>
    <col min="10511" max="10511" width="14.77734375" style="49" bestFit="1" customWidth="1"/>
    <col min="10512" max="10722" width="8.77734375" style="49"/>
    <col min="10723" max="10723" width="24.109375" style="49" customWidth="1"/>
    <col min="10724" max="10726" width="16.44140625" style="49" customWidth="1"/>
    <col min="10727" max="10727" width="18" style="49" customWidth="1"/>
    <col min="10728" max="10728" width="16.44140625" style="49" customWidth="1"/>
    <col min="10729" max="10729" width="4" style="49" customWidth="1"/>
    <col min="10730" max="10732" width="9.33203125" style="49" customWidth="1"/>
    <col min="10733" max="10733" width="22.44140625" style="49" customWidth="1"/>
    <col min="10734" max="10734" width="3.77734375" style="49" customWidth="1"/>
    <col min="10735" max="10735" width="16.44140625" style="49" customWidth="1"/>
    <col min="10736" max="10736" width="17.33203125" style="49" customWidth="1"/>
    <col min="10737" max="10740" width="16.44140625" style="49" customWidth="1"/>
    <col min="10741" max="10742" width="9.33203125" style="49" customWidth="1"/>
    <col min="10743" max="10743" width="18.77734375" style="49" customWidth="1"/>
    <col min="10744" max="10744" width="16.44140625" style="49" customWidth="1"/>
    <col min="10745" max="10745" width="17.77734375" style="49" customWidth="1"/>
    <col min="10746" max="10748" width="16.44140625" style="49" customWidth="1"/>
    <col min="10749" max="10749" width="17.77734375" style="49" bestFit="1" customWidth="1"/>
    <col min="10750" max="10750" width="16.44140625" style="49" customWidth="1"/>
    <col min="10751" max="10751" width="21" style="49" customWidth="1"/>
    <col min="10752" max="10752" width="16.44140625" style="49" customWidth="1"/>
    <col min="10753" max="10753" width="18.33203125" style="49" bestFit="1" customWidth="1"/>
    <col min="10754" max="10754" width="19.109375" style="49" customWidth="1"/>
    <col min="10755" max="10756" width="18.33203125" style="49" customWidth="1"/>
    <col min="10757" max="10757" width="8.77734375" style="49"/>
    <col min="10758" max="10759" width="16.77734375" style="49" customWidth="1"/>
    <col min="10760" max="10761" width="11.6640625" style="49" customWidth="1"/>
    <col min="10762" max="10762" width="8.77734375" style="49"/>
    <col min="10763" max="10763" width="18.33203125" style="49" customWidth="1"/>
    <col min="10764" max="10764" width="16.44140625" style="49" customWidth="1"/>
    <col min="10765" max="10765" width="9.44140625" style="49" bestFit="1" customWidth="1"/>
    <col min="10766" max="10766" width="17.6640625" style="49" customWidth="1"/>
    <col min="10767" max="10767" width="14.77734375" style="49" bestFit="1" customWidth="1"/>
    <col min="10768" max="10978" width="8.77734375" style="49"/>
    <col min="10979" max="10979" width="24.109375" style="49" customWidth="1"/>
    <col min="10980" max="10982" width="16.44140625" style="49" customWidth="1"/>
    <col min="10983" max="10983" width="18" style="49" customWidth="1"/>
    <col min="10984" max="10984" width="16.44140625" style="49" customWidth="1"/>
    <col min="10985" max="10985" width="4" style="49" customWidth="1"/>
    <col min="10986" max="10988" width="9.33203125" style="49" customWidth="1"/>
    <col min="10989" max="10989" width="22.44140625" style="49" customWidth="1"/>
    <col min="10990" max="10990" width="3.77734375" style="49" customWidth="1"/>
    <col min="10991" max="10991" width="16.44140625" style="49" customWidth="1"/>
    <col min="10992" max="10992" width="17.33203125" style="49" customWidth="1"/>
    <col min="10993" max="10996" width="16.44140625" style="49" customWidth="1"/>
    <col min="10997" max="10998" width="9.33203125" style="49" customWidth="1"/>
    <col min="10999" max="10999" width="18.77734375" style="49" customWidth="1"/>
    <col min="11000" max="11000" width="16.44140625" style="49" customWidth="1"/>
    <col min="11001" max="11001" width="17.77734375" style="49" customWidth="1"/>
    <col min="11002" max="11004" width="16.44140625" style="49" customWidth="1"/>
    <col min="11005" max="11005" width="17.77734375" style="49" bestFit="1" customWidth="1"/>
    <col min="11006" max="11006" width="16.44140625" style="49" customWidth="1"/>
    <col min="11007" max="11007" width="21" style="49" customWidth="1"/>
    <col min="11008" max="11008" width="16.44140625" style="49" customWidth="1"/>
    <col min="11009" max="11009" width="18.33203125" style="49" bestFit="1" customWidth="1"/>
    <col min="11010" max="11010" width="19.109375" style="49" customWidth="1"/>
    <col min="11011" max="11012" width="18.33203125" style="49" customWidth="1"/>
    <col min="11013" max="11013" width="8.77734375" style="49"/>
    <col min="11014" max="11015" width="16.77734375" style="49" customWidth="1"/>
    <col min="11016" max="11017" width="11.6640625" style="49" customWidth="1"/>
    <col min="11018" max="11018" width="8.77734375" style="49"/>
    <col min="11019" max="11019" width="18.33203125" style="49" customWidth="1"/>
    <col min="11020" max="11020" width="16.44140625" style="49" customWidth="1"/>
    <col min="11021" max="11021" width="9.44140625" style="49" bestFit="1" customWidth="1"/>
    <col min="11022" max="11022" width="17.6640625" style="49" customWidth="1"/>
    <col min="11023" max="11023" width="14.77734375" style="49" bestFit="1" customWidth="1"/>
    <col min="11024" max="11234" width="8.77734375" style="49"/>
    <col min="11235" max="11235" width="24.109375" style="49" customWidth="1"/>
    <col min="11236" max="11238" width="16.44140625" style="49" customWidth="1"/>
    <col min="11239" max="11239" width="18" style="49" customWidth="1"/>
    <col min="11240" max="11240" width="16.44140625" style="49" customWidth="1"/>
    <col min="11241" max="11241" width="4" style="49" customWidth="1"/>
    <col min="11242" max="11244" width="9.33203125" style="49" customWidth="1"/>
    <col min="11245" max="11245" width="22.44140625" style="49" customWidth="1"/>
    <col min="11246" max="11246" width="3.77734375" style="49" customWidth="1"/>
    <col min="11247" max="11247" width="16.44140625" style="49" customWidth="1"/>
    <col min="11248" max="11248" width="17.33203125" style="49" customWidth="1"/>
    <col min="11249" max="11252" width="16.44140625" style="49" customWidth="1"/>
    <col min="11253" max="11254" width="9.33203125" style="49" customWidth="1"/>
    <col min="11255" max="11255" width="18.77734375" style="49" customWidth="1"/>
    <col min="11256" max="11256" width="16.44140625" style="49" customWidth="1"/>
    <col min="11257" max="11257" width="17.77734375" style="49" customWidth="1"/>
    <col min="11258" max="11260" width="16.44140625" style="49" customWidth="1"/>
    <col min="11261" max="11261" width="17.77734375" style="49" bestFit="1" customWidth="1"/>
    <col min="11262" max="11262" width="16.44140625" style="49" customWidth="1"/>
    <col min="11263" max="11263" width="21" style="49" customWidth="1"/>
    <col min="11264" max="11264" width="16.44140625" style="49" customWidth="1"/>
    <col min="11265" max="11265" width="18.33203125" style="49" bestFit="1" customWidth="1"/>
    <col min="11266" max="11266" width="19.109375" style="49" customWidth="1"/>
    <col min="11267" max="11268" width="18.33203125" style="49" customWidth="1"/>
    <col min="11269" max="11269" width="8.77734375" style="49"/>
    <col min="11270" max="11271" width="16.77734375" style="49" customWidth="1"/>
    <col min="11272" max="11273" width="11.6640625" style="49" customWidth="1"/>
    <col min="11274" max="11274" width="8.77734375" style="49"/>
    <col min="11275" max="11275" width="18.33203125" style="49" customWidth="1"/>
    <col min="11276" max="11276" width="16.44140625" style="49" customWidth="1"/>
    <col min="11277" max="11277" width="9.44140625" style="49" bestFit="1" customWidth="1"/>
    <col min="11278" max="11278" width="17.6640625" style="49" customWidth="1"/>
    <col min="11279" max="11279" width="14.77734375" style="49" bestFit="1" customWidth="1"/>
    <col min="11280" max="11490" width="8.77734375" style="49"/>
    <col min="11491" max="11491" width="24.109375" style="49" customWidth="1"/>
    <col min="11492" max="11494" width="16.44140625" style="49" customWidth="1"/>
    <col min="11495" max="11495" width="18" style="49" customWidth="1"/>
    <col min="11496" max="11496" width="16.44140625" style="49" customWidth="1"/>
    <col min="11497" max="11497" width="4" style="49" customWidth="1"/>
    <col min="11498" max="11500" width="9.33203125" style="49" customWidth="1"/>
    <col min="11501" max="11501" width="22.44140625" style="49" customWidth="1"/>
    <col min="11502" max="11502" width="3.77734375" style="49" customWidth="1"/>
    <col min="11503" max="11503" width="16.44140625" style="49" customWidth="1"/>
    <col min="11504" max="11504" width="17.33203125" style="49" customWidth="1"/>
    <col min="11505" max="11508" width="16.44140625" style="49" customWidth="1"/>
    <col min="11509" max="11510" width="9.33203125" style="49" customWidth="1"/>
    <col min="11511" max="11511" width="18.77734375" style="49" customWidth="1"/>
    <col min="11512" max="11512" width="16.44140625" style="49" customWidth="1"/>
    <col min="11513" max="11513" width="17.77734375" style="49" customWidth="1"/>
    <col min="11514" max="11516" width="16.44140625" style="49" customWidth="1"/>
    <col min="11517" max="11517" width="17.77734375" style="49" bestFit="1" customWidth="1"/>
    <col min="11518" max="11518" width="16.44140625" style="49" customWidth="1"/>
    <col min="11519" max="11519" width="21" style="49" customWidth="1"/>
    <col min="11520" max="11520" width="16.44140625" style="49" customWidth="1"/>
    <col min="11521" max="11521" width="18.33203125" style="49" bestFit="1" customWidth="1"/>
    <col min="11522" max="11522" width="19.109375" style="49" customWidth="1"/>
    <col min="11523" max="11524" width="18.33203125" style="49" customWidth="1"/>
    <col min="11525" max="11525" width="8.77734375" style="49"/>
    <col min="11526" max="11527" width="16.77734375" style="49" customWidth="1"/>
    <col min="11528" max="11529" width="11.6640625" style="49" customWidth="1"/>
    <col min="11530" max="11530" width="8.77734375" style="49"/>
    <col min="11531" max="11531" width="18.33203125" style="49" customWidth="1"/>
    <col min="11532" max="11532" width="16.44140625" style="49" customWidth="1"/>
    <col min="11533" max="11533" width="9.44140625" style="49" bestFit="1" customWidth="1"/>
    <col min="11534" max="11534" width="17.6640625" style="49" customWidth="1"/>
    <col min="11535" max="11535" width="14.77734375" style="49" bestFit="1" customWidth="1"/>
    <col min="11536" max="11746" width="8.77734375" style="49"/>
    <col min="11747" max="11747" width="24.109375" style="49" customWidth="1"/>
    <col min="11748" max="11750" width="16.44140625" style="49" customWidth="1"/>
    <col min="11751" max="11751" width="18" style="49" customWidth="1"/>
    <col min="11752" max="11752" width="16.44140625" style="49" customWidth="1"/>
    <col min="11753" max="11753" width="4" style="49" customWidth="1"/>
    <col min="11754" max="11756" width="9.33203125" style="49" customWidth="1"/>
    <col min="11757" max="11757" width="22.44140625" style="49" customWidth="1"/>
    <col min="11758" max="11758" width="3.77734375" style="49" customWidth="1"/>
    <col min="11759" max="11759" width="16.44140625" style="49" customWidth="1"/>
    <col min="11760" max="11760" width="17.33203125" style="49" customWidth="1"/>
    <col min="11761" max="11764" width="16.44140625" style="49" customWidth="1"/>
    <col min="11765" max="11766" width="9.33203125" style="49" customWidth="1"/>
    <col min="11767" max="11767" width="18.77734375" style="49" customWidth="1"/>
    <col min="11768" max="11768" width="16.44140625" style="49" customWidth="1"/>
    <col min="11769" max="11769" width="17.77734375" style="49" customWidth="1"/>
    <col min="11770" max="11772" width="16.44140625" style="49" customWidth="1"/>
    <col min="11773" max="11773" width="17.77734375" style="49" bestFit="1" customWidth="1"/>
    <col min="11774" max="11774" width="16.44140625" style="49" customWidth="1"/>
    <col min="11775" max="11775" width="21" style="49" customWidth="1"/>
    <col min="11776" max="11776" width="16.44140625" style="49" customWidth="1"/>
    <col min="11777" max="11777" width="18.33203125" style="49" bestFit="1" customWidth="1"/>
    <col min="11778" max="11778" width="19.109375" style="49" customWidth="1"/>
    <col min="11779" max="11780" width="18.33203125" style="49" customWidth="1"/>
    <col min="11781" max="11781" width="8.77734375" style="49"/>
    <col min="11782" max="11783" width="16.77734375" style="49" customWidth="1"/>
    <col min="11784" max="11785" width="11.6640625" style="49" customWidth="1"/>
    <col min="11786" max="11786" width="8.77734375" style="49"/>
    <col min="11787" max="11787" width="18.33203125" style="49" customWidth="1"/>
    <col min="11788" max="11788" width="16.44140625" style="49" customWidth="1"/>
    <col min="11789" max="11789" width="9.44140625" style="49" bestFit="1" customWidth="1"/>
    <col min="11790" max="11790" width="17.6640625" style="49" customWidth="1"/>
    <col min="11791" max="11791" width="14.77734375" style="49" bestFit="1" customWidth="1"/>
    <col min="11792" max="12002" width="8.77734375" style="49"/>
    <col min="12003" max="12003" width="24.109375" style="49" customWidth="1"/>
    <col min="12004" max="12006" width="16.44140625" style="49" customWidth="1"/>
    <col min="12007" max="12007" width="18" style="49" customWidth="1"/>
    <col min="12008" max="12008" width="16.44140625" style="49" customWidth="1"/>
    <col min="12009" max="12009" width="4" style="49" customWidth="1"/>
    <col min="12010" max="12012" width="9.33203125" style="49" customWidth="1"/>
    <col min="12013" max="12013" width="22.44140625" style="49" customWidth="1"/>
    <col min="12014" max="12014" width="3.77734375" style="49" customWidth="1"/>
    <col min="12015" max="12015" width="16.44140625" style="49" customWidth="1"/>
    <col min="12016" max="12016" width="17.33203125" style="49" customWidth="1"/>
    <col min="12017" max="12020" width="16.44140625" style="49" customWidth="1"/>
    <col min="12021" max="12022" width="9.33203125" style="49" customWidth="1"/>
    <col min="12023" max="12023" width="18.77734375" style="49" customWidth="1"/>
    <col min="12024" max="12024" width="16.44140625" style="49" customWidth="1"/>
    <col min="12025" max="12025" width="17.77734375" style="49" customWidth="1"/>
    <col min="12026" max="12028" width="16.44140625" style="49" customWidth="1"/>
    <col min="12029" max="12029" width="17.77734375" style="49" bestFit="1" customWidth="1"/>
    <col min="12030" max="12030" width="16.44140625" style="49" customWidth="1"/>
    <col min="12031" max="12031" width="21" style="49" customWidth="1"/>
    <col min="12032" max="12032" width="16.44140625" style="49" customWidth="1"/>
    <col min="12033" max="12033" width="18.33203125" style="49" bestFit="1" customWidth="1"/>
    <col min="12034" max="12034" width="19.109375" style="49" customWidth="1"/>
    <col min="12035" max="12036" width="18.33203125" style="49" customWidth="1"/>
    <col min="12037" max="12037" width="8.77734375" style="49"/>
    <col min="12038" max="12039" width="16.77734375" style="49" customWidth="1"/>
    <col min="12040" max="12041" width="11.6640625" style="49" customWidth="1"/>
    <col min="12042" max="12042" width="8.77734375" style="49"/>
    <col min="12043" max="12043" width="18.33203125" style="49" customWidth="1"/>
    <col min="12044" max="12044" width="16.44140625" style="49" customWidth="1"/>
    <col min="12045" max="12045" width="9.44140625" style="49" bestFit="1" customWidth="1"/>
    <col min="12046" max="12046" width="17.6640625" style="49" customWidth="1"/>
    <col min="12047" max="12047" width="14.77734375" style="49" bestFit="1" customWidth="1"/>
    <col min="12048" max="12258" width="8.77734375" style="49"/>
    <col min="12259" max="12259" width="24.109375" style="49" customWidth="1"/>
    <col min="12260" max="12262" width="16.44140625" style="49" customWidth="1"/>
    <col min="12263" max="12263" width="18" style="49" customWidth="1"/>
    <col min="12264" max="12264" width="16.44140625" style="49" customWidth="1"/>
    <col min="12265" max="12265" width="4" style="49" customWidth="1"/>
    <col min="12266" max="12268" width="9.33203125" style="49" customWidth="1"/>
    <col min="12269" max="12269" width="22.44140625" style="49" customWidth="1"/>
    <col min="12270" max="12270" width="3.77734375" style="49" customWidth="1"/>
    <col min="12271" max="12271" width="16.44140625" style="49" customWidth="1"/>
    <col min="12272" max="12272" width="17.33203125" style="49" customWidth="1"/>
    <col min="12273" max="12276" width="16.44140625" style="49" customWidth="1"/>
    <col min="12277" max="12278" width="9.33203125" style="49" customWidth="1"/>
    <col min="12279" max="12279" width="18.77734375" style="49" customWidth="1"/>
    <col min="12280" max="12280" width="16.44140625" style="49" customWidth="1"/>
    <col min="12281" max="12281" width="17.77734375" style="49" customWidth="1"/>
    <col min="12282" max="12284" width="16.44140625" style="49" customWidth="1"/>
    <col min="12285" max="12285" width="17.77734375" style="49" bestFit="1" customWidth="1"/>
    <col min="12286" max="12286" width="16.44140625" style="49" customWidth="1"/>
    <col min="12287" max="12287" width="21" style="49" customWidth="1"/>
    <col min="12288" max="12288" width="16.44140625" style="49" customWidth="1"/>
    <col min="12289" max="12289" width="18.33203125" style="49" bestFit="1" customWidth="1"/>
    <col min="12290" max="12290" width="19.109375" style="49" customWidth="1"/>
    <col min="12291" max="12292" width="18.33203125" style="49" customWidth="1"/>
    <col min="12293" max="12293" width="8.77734375" style="49"/>
    <col min="12294" max="12295" width="16.77734375" style="49" customWidth="1"/>
    <col min="12296" max="12297" width="11.6640625" style="49" customWidth="1"/>
    <col min="12298" max="12298" width="8.77734375" style="49"/>
    <col min="12299" max="12299" width="18.33203125" style="49" customWidth="1"/>
    <col min="12300" max="12300" width="16.44140625" style="49" customWidth="1"/>
    <col min="12301" max="12301" width="9.44140625" style="49" bestFit="1" customWidth="1"/>
    <col min="12302" max="12302" width="17.6640625" style="49" customWidth="1"/>
    <col min="12303" max="12303" width="14.77734375" style="49" bestFit="1" customWidth="1"/>
    <col min="12304" max="12514" width="8.77734375" style="49"/>
    <col min="12515" max="12515" width="24.109375" style="49" customWidth="1"/>
    <col min="12516" max="12518" width="16.44140625" style="49" customWidth="1"/>
    <col min="12519" max="12519" width="18" style="49" customWidth="1"/>
    <col min="12520" max="12520" width="16.44140625" style="49" customWidth="1"/>
    <col min="12521" max="12521" width="4" style="49" customWidth="1"/>
    <col min="12522" max="12524" width="9.33203125" style="49" customWidth="1"/>
    <col min="12525" max="12525" width="22.44140625" style="49" customWidth="1"/>
    <col min="12526" max="12526" width="3.77734375" style="49" customWidth="1"/>
    <col min="12527" max="12527" width="16.44140625" style="49" customWidth="1"/>
    <col min="12528" max="12528" width="17.33203125" style="49" customWidth="1"/>
    <col min="12529" max="12532" width="16.44140625" style="49" customWidth="1"/>
    <col min="12533" max="12534" width="9.33203125" style="49" customWidth="1"/>
    <col min="12535" max="12535" width="18.77734375" style="49" customWidth="1"/>
    <col min="12536" max="12536" width="16.44140625" style="49" customWidth="1"/>
    <col min="12537" max="12537" width="17.77734375" style="49" customWidth="1"/>
    <col min="12538" max="12540" width="16.44140625" style="49" customWidth="1"/>
    <col min="12541" max="12541" width="17.77734375" style="49" bestFit="1" customWidth="1"/>
    <col min="12542" max="12542" width="16.44140625" style="49" customWidth="1"/>
    <col min="12543" max="12543" width="21" style="49" customWidth="1"/>
    <col min="12544" max="12544" width="16.44140625" style="49" customWidth="1"/>
    <col min="12545" max="12545" width="18.33203125" style="49" bestFit="1" customWidth="1"/>
    <col min="12546" max="12546" width="19.109375" style="49" customWidth="1"/>
    <col min="12547" max="12548" width="18.33203125" style="49" customWidth="1"/>
    <col min="12549" max="12549" width="8.77734375" style="49"/>
    <col min="12550" max="12551" width="16.77734375" style="49" customWidth="1"/>
    <col min="12552" max="12553" width="11.6640625" style="49" customWidth="1"/>
    <col min="12554" max="12554" width="8.77734375" style="49"/>
    <col min="12555" max="12555" width="18.33203125" style="49" customWidth="1"/>
    <col min="12556" max="12556" width="16.44140625" style="49" customWidth="1"/>
    <col min="12557" max="12557" width="9.44140625" style="49" bestFit="1" customWidth="1"/>
    <col min="12558" max="12558" width="17.6640625" style="49" customWidth="1"/>
    <col min="12559" max="12559" width="14.77734375" style="49" bestFit="1" customWidth="1"/>
    <col min="12560" max="12770" width="8.77734375" style="49"/>
    <col min="12771" max="12771" width="24.109375" style="49" customWidth="1"/>
    <col min="12772" max="12774" width="16.44140625" style="49" customWidth="1"/>
    <col min="12775" max="12775" width="18" style="49" customWidth="1"/>
    <col min="12776" max="12776" width="16.44140625" style="49" customWidth="1"/>
    <col min="12777" max="12777" width="4" style="49" customWidth="1"/>
    <col min="12778" max="12780" width="9.33203125" style="49" customWidth="1"/>
    <col min="12781" max="12781" width="22.44140625" style="49" customWidth="1"/>
    <col min="12782" max="12782" width="3.77734375" style="49" customWidth="1"/>
    <col min="12783" max="12783" width="16.44140625" style="49" customWidth="1"/>
    <col min="12784" max="12784" width="17.33203125" style="49" customWidth="1"/>
    <col min="12785" max="12788" width="16.44140625" style="49" customWidth="1"/>
    <col min="12789" max="12790" width="9.33203125" style="49" customWidth="1"/>
    <col min="12791" max="12791" width="18.77734375" style="49" customWidth="1"/>
    <col min="12792" max="12792" width="16.44140625" style="49" customWidth="1"/>
    <col min="12793" max="12793" width="17.77734375" style="49" customWidth="1"/>
    <col min="12794" max="12796" width="16.44140625" style="49" customWidth="1"/>
    <col min="12797" max="12797" width="17.77734375" style="49" bestFit="1" customWidth="1"/>
    <col min="12798" max="12798" width="16.44140625" style="49" customWidth="1"/>
    <col min="12799" max="12799" width="21" style="49" customWidth="1"/>
    <col min="12800" max="12800" width="16.44140625" style="49" customWidth="1"/>
    <col min="12801" max="12801" width="18.33203125" style="49" bestFit="1" customWidth="1"/>
    <col min="12802" max="12802" width="19.109375" style="49" customWidth="1"/>
    <col min="12803" max="12804" width="18.33203125" style="49" customWidth="1"/>
    <col min="12805" max="12805" width="8.77734375" style="49"/>
    <col min="12806" max="12807" width="16.77734375" style="49" customWidth="1"/>
    <col min="12808" max="12809" width="11.6640625" style="49" customWidth="1"/>
    <col min="12810" max="12810" width="8.77734375" style="49"/>
    <col min="12811" max="12811" width="18.33203125" style="49" customWidth="1"/>
    <col min="12812" max="12812" width="16.44140625" style="49" customWidth="1"/>
    <col min="12813" max="12813" width="9.44140625" style="49" bestFit="1" customWidth="1"/>
    <col min="12814" max="12814" width="17.6640625" style="49" customWidth="1"/>
    <col min="12815" max="12815" width="14.77734375" style="49" bestFit="1" customWidth="1"/>
    <col min="12816" max="13026" width="8.77734375" style="49"/>
    <col min="13027" max="13027" width="24.109375" style="49" customWidth="1"/>
    <col min="13028" max="13030" width="16.44140625" style="49" customWidth="1"/>
    <col min="13031" max="13031" width="18" style="49" customWidth="1"/>
    <col min="13032" max="13032" width="16.44140625" style="49" customWidth="1"/>
    <col min="13033" max="13033" width="4" style="49" customWidth="1"/>
    <col min="13034" max="13036" width="9.33203125" style="49" customWidth="1"/>
    <col min="13037" max="13037" width="22.44140625" style="49" customWidth="1"/>
    <col min="13038" max="13038" width="3.77734375" style="49" customWidth="1"/>
    <col min="13039" max="13039" width="16.44140625" style="49" customWidth="1"/>
    <col min="13040" max="13040" width="17.33203125" style="49" customWidth="1"/>
    <col min="13041" max="13044" width="16.44140625" style="49" customWidth="1"/>
    <col min="13045" max="13046" width="9.33203125" style="49" customWidth="1"/>
    <col min="13047" max="13047" width="18.77734375" style="49" customWidth="1"/>
    <col min="13048" max="13048" width="16.44140625" style="49" customWidth="1"/>
    <col min="13049" max="13049" width="17.77734375" style="49" customWidth="1"/>
    <col min="13050" max="13052" width="16.44140625" style="49" customWidth="1"/>
    <col min="13053" max="13053" width="17.77734375" style="49" bestFit="1" customWidth="1"/>
    <col min="13054" max="13054" width="16.44140625" style="49" customWidth="1"/>
    <col min="13055" max="13055" width="21" style="49" customWidth="1"/>
    <col min="13056" max="13056" width="16.44140625" style="49" customWidth="1"/>
    <col min="13057" max="13057" width="18.33203125" style="49" bestFit="1" customWidth="1"/>
    <col min="13058" max="13058" width="19.109375" style="49" customWidth="1"/>
    <col min="13059" max="13060" width="18.33203125" style="49" customWidth="1"/>
    <col min="13061" max="13061" width="8.77734375" style="49"/>
    <col min="13062" max="13063" width="16.77734375" style="49" customWidth="1"/>
    <col min="13064" max="13065" width="11.6640625" style="49" customWidth="1"/>
    <col min="13066" max="13066" width="8.77734375" style="49"/>
    <col min="13067" max="13067" width="18.33203125" style="49" customWidth="1"/>
    <col min="13068" max="13068" width="16.44140625" style="49" customWidth="1"/>
    <col min="13069" max="13069" width="9.44140625" style="49" bestFit="1" customWidth="1"/>
    <col min="13070" max="13070" width="17.6640625" style="49" customWidth="1"/>
    <col min="13071" max="13071" width="14.77734375" style="49" bestFit="1" customWidth="1"/>
    <col min="13072" max="13282" width="8.77734375" style="49"/>
    <col min="13283" max="13283" width="24.109375" style="49" customWidth="1"/>
    <col min="13284" max="13286" width="16.44140625" style="49" customWidth="1"/>
    <col min="13287" max="13287" width="18" style="49" customWidth="1"/>
    <col min="13288" max="13288" width="16.44140625" style="49" customWidth="1"/>
    <col min="13289" max="13289" width="4" style="49" customWidth="1"/>
    <col min="13290" max="13292" width="9.33203125" style="49" customWidth="1"/>
    <col min="13293" max="13293" width="22.44140625" style="49" customWidth="1"/>
    <col min="13294" max="13294" width="3.77734375" style="49" customWidth="1"/>
    <col min="13295" max="13295" width="16.44140625" style="49" customWidth="1"/>
    <col min="13296" max="13296" width="17.33203125" style="49" customWidth="1"/>
    <col min="13297" max="13300" width="16.44140625" style="49" customWidth="1"/>
    <col min="13301" max="13302" width="9.33203125" style="49" customWidth="1"/>
    <col min="13303" max="13303" width="18.77734375" style="49" customWidth="1"/>
    <col min="13304" max="13304" width="16.44140625" style="49" customWidth="1"/>
    <col min="13305" max="13305" width="17.77734375" style="49" customWidth="1"/>
    <col min="13306" max="13308" width="16.44140625" style="49" customWidth="1"/>
    <col min="13309" max="13309" width="17.77734375" style="49" bestFit="1" customWidth="1"/>
    <col min="13310" max="13310" width="16.44140625" style="49" customWidth="1"/>
    <col min="13311" max="13311" width="21" style="49" customWidth="1"/>
    <col min="13312" max="13312" width="16.44140625" style="49" customWidth="1"/>
    <col min="13313" max="13313" width="18.33203125" style="49" bestFit="1" customWidth="1"/>
    <col min="13314" max="13314" width="19.109375" style="49" customWidth="1"/>
    <col min="13315" max="13316" width="18.33203125" style="49" customWidth="1"/>
    <col min="13317" max="13317" width="8.77734375" style="49"/>
    <col min="13318" max="13319" width="16.77734375" style="49" customWidth="1"/>
    <col min="13320" max="13321" width="11.6640625" style="49" customWidth="1"/>
    <col min="13322" max="13322" width="8.77734375" style="49"/>
    <col min="13323" max="13323" width="18.33203125" style="49" customWidth="1"/>
    <col min="13324" max="13324" width="16.44140625" style="49" customWidth="1"/>
    <col min="13325" max="13325" width="9.44140625" style="49" bestFit="1" customWidth="1"/>
    <col min="13326" max="13326" width="17.6640625" style="49" customWidth="1"/>
    <col min="13327" max="13327" width="14.77734375" style="49" bestFit="1" customWidth="1"/>
    <col min="13328" max="13538" width="8.77734375" style="49"/>
    <col min="13539" max="13539" width="24.109375" style="49" customWidth="1"/>
    <col min="13540" max="13542" width="16.44140625" style="49" customWidth="1"/>
    <col min="13543" max="13543" width="18" style="49" customWidth="1"/>
    <col min="13544" max="13544" width="16.44140625" style="49" customWidth="1"/>
    <col min="13545" max="13545" width="4" style="49" customWidth="1"/>
    <col min="13546" max="13548" width="9.33203125" style="49" customWidth="1"/>
    <col min="13549" max="13549" width="22.44140625" style="49" customWidth="1"/>
    <col min="13550" max="13550" width="3.77734375" style="49" customWidth="1"/>
    <col min="13551" max="13551" width="16.44140625" style="49" customWidth="1"/>
    <col min="13552" max="13552" width="17.33203125" style="49" customWidth="1"/>
    <col min="13553" max="13556" width="16.44140625" style="49" customWidth="1"/>
    <col min="13557" max="13558" width="9.33203125" style="49" customWidth="1"/>
    <col min="13559" max="13559" width="18.77734375" style="49" customWidth="1"/>
    <col min="13560" max="13560" width="16.44140625" style="49" customWidth="1"/>
    <col min="13561" max="13561" width="17.77734375" style="49" customWidth="1"/>
    <col min="13562" max="13564" width="16.44140625" style="49" customWidth="1"/>
    <col min="13565" max="13565" width="17.77734375" style="49" bestFit="1" customWidth="1"/>
    <col min="13566" max="13566" width="16.44140625" style="49" customWidth="1"/>
    <col min="13567" max="13567" width="21" style="49" customWidth="1"/>
    <col min="13568" max="13568" width="16.44140625" style="49" customWidth="1"/>
    <col min="13569" max="13569" width="18.33203125" style="49" bestFit="1" customWidth="1"/>
    <col min="13570" max="13570" width="19.109375" style="49" customWidth="1"/>
    <col min="13571" max="13572" width="18.33203125" style="49" customWidth="1"/>
    <col min="13573" max="13573" width="8.77734375" style="49"/>
    <col min="13574" max="13575" width="16.77734375" style="49" customWidth="1"/>
    <col min="13576" max="13577" width="11.6640625" style="49" customWidth="1"/>
    <col min="13578" max="13578" width="8.77734375" style="49"/>
    <col min="13579" max="13579" width="18.33203125" style="49" customWidth="1"/>
    <col min="13580" max="13580" width="16.44140625" style="49" customWidth="1"/>
    <col min="13581" max="13581" width="9.44140625" style="49" bestFit="1" customWidth="1"/>
    <col min="13582" max="13582" width="17.6640625" style="49" customWidth="1"/>
    <col min="13583" max="13583" width="14.77734375" style="49" bestFit="1" customWidth="1"/>
    <col min="13584" max="13794" width="8.77734375" style="49"/>
    <col min="13795" max="13795" width="24.109375" style="49" customWidth="1"/>
    <col min="13796" max="13798" width="16.44140625" style="49" customWidth="1"/>
    <col min="13799" max="13799" width="18" style="49" customWidth="1"/>
    <col min="13800" max="13800" width="16.44140625" style="49" customWidth="1"/>
    <col min="13801" max="13801" width="4" style="49" customWidth="1"/>
    <col min="13802" max="13804" width="9.33203125" style="49" customWidth="1"/>
    <col min="13805" max="13805" width="22.44140625" style="49" customWidth="1"/>
    <col min="13806" max="13806" width="3.77734375" style="49" customWidth="1"/>
    <col min="13807" max="13807" width="16.44140625" style="49" customWidth="1"/>
    <col min="13808" max="13808" width="17.33203125" style="49" customWidth="1"/>
    <col min="13809" max="13812" width="16.44140625" style="49" customWidth="1"/>
    <col min="13813" max="13814" width="9.33203125" style="49" customWidth="1"/>
    <col min="13815" max="13815" width="18.77734375" style="49" customWidth="1"/>
    <col min="13816" max="13816" width="16.44140625" style="49" customWidth="1"/>
    <col min="13817" max="13817" width="17.77734375" style="49" customWidth="1"/>
    <col min="13818" max="13820" width="16.44140625" style="49" customWidth="1"/>
    <col min="13821" max="13821" width="17.77734375" style="49" bestFit="1" customWidth="1"/>
    <col min="13822" max="13822" width="16.44140625" style="49" customWidth="1"/>
    <col min="13823" max="13823" width="21" style="49" customWidth="1"/>
    <col min="13824" max="13824" width="16.44140625" style="49" customWidth="1"/>
    <col min="13825" max="13825" width="18.33203125" style="49" bestFit="1" customWidth="1"/>
    <col min="13826" max="13826" width="19.109375" style="49" customWidth="1"/>
    <col min="13827" max="13828" width="18.33203125" style="49" customWidth="1"/>
    <col min="13829" max="13829" width="8.77734375" style="49"/>
    <col min="13830" max="13831" width="16.77734375" style="49" customWidth="1"/>
    <col min="13832" max="13833" width="11.6640625" style="49" customWidth="1"/>
    <col min="13834" max="13834" width="8.77734375" style="49"/>
    <col min="13835" max="13835" width="18.33203125" style="49" customWidth="1"/>
    <col min="13836" max="13836" width="16.44140625" style="49" customWidth="1"/>
    <col min="13837" max="13837" width="9.44140625" style="49" bestFit="1" customWidth="1"/>
    <col min="13838" max="13838" width="17.6640625" style="49" customWidth="1"/>
    <col min="13839" max="13839" width="14.77734375" style="49" bestFit="1" customWidth="1"/>
    <col min="13840" max="14050" width="8.77734375" style="49"/>
    <col min="14051" max="14051" width="24.109375" style="49" customWidth="1"/>
    <col min="14052" max="14054" width="16.44140625" style="49" customWidth="1"/>
    <col min="14055" max="14055" width="18" style="49" customWidth="1"/>
    <col min="14056" max="14056" width="16.44140625" style="49" customWidth="1"/>
    <col min="14057" max="14057" width="4" style="49" customWidth="1"/>
    <col min="14058" max="14060" width="9.33203125" style="49" customWidth="1"/>
    <col min="14061" max="14061" width="22.44140625" style="49" customWidth="1"/>
    <col min="14062" max="14062" width="3.77734375" style="49" customWidth="1"/>
    <col min="14063" max="14063" width="16.44140625" style="49" customWidth="1"/>
    <col min="14064" max="14064" width="17.33203125" style="49" customWidth="1"/>
    <col min="14065" max="14068" width="16.44140625" style="49" customWidth="1"/>
    <col min="14069" max="14070" width="9.33203125" style="49" customWidth="1"/>
    <col min="14071" max="14071" width="18.77734375" style="49" customWidth="1"/>
    <col min="14072" max="14072" width="16.44140625" style="49" customWidth="1"/>
    <col min="14073" max="14073" width="17.77734375" style="49" customWidth="1"/>
    <col min="14074" max="14076" width="16.44140625" style="49" customWidth="1"/>
    <col min="14077" max="14077" width="17.77734375" style="49" bestFit="1" customWidth="1"/>
    <col min="14078" max="14078" width="16.44140625" style="49" customWidth="1"/>
    <col min="14079" max="14079" width="21" style="49" customWidth="1"/>
    <col min="14080" max="14080" width="16.44140625" style="49" customWidth="1"/>
    <col min="14081" max="14081" width="18.33203125" style="49" bestFit="1" customWidth="1"/>
    <col min="14082" max="14082" width="19.109375" style="49" customWidth="1"/>
    <col min="14083" max="14084" width="18.33203125" style="49" customWidth="1"/>
    <col min="14085" max="14085" width="8.77734375" style="49"/>
    <col min="14086" max="14087" width="16.77734375" style="49" customWidth="1"/>
    <col min="14088" max="14089" width="11.6640625" style="49" customWidth="1"/>
    <col min="14090" max="14090" width="8.77734375" style="49"/>
    <col min="14091" max="14091" width="18.33203125" style="49" customWidth="1"/>
    <col min="14092" max="14092" width="16.44140625" style="49" customWidth="1"/>
    <col min="14093" max="14093" width="9.44140625" style="49" bestFit="1" customWidth="1"/>
    <col min="14094" max="14094" width="17.6640625" style="49" customWidth="1"/>
    <col min="14095" max="14095" width="14.77734375" style="49" bestFit="1" customWidth="1"/>
    <col min="14096" max="14306" width="8.77734375" style="49"/>
    <col min="14307" max="14307" width="24.109375" style="49" customWidth="1"/>
    <col min="14308" max="14310" width="16.44140625" style="49" customWidth="1"/>
    <col min="14311" max="14311" width="18" style="49" customWidth="1"/>
    <col min="14312" max="14312" width="16.44140625" style="49" customWidth="1"/>
    <col min="14313" max="14313" width="4" style="49" customWidth="1"/>
    <col min="14314" max="14316" width="9.33203125" style="49" customWidth="1"/>
    <col min="14317" max="14317" width="22.44140625" style="49" customWidth="1"/>
    <col min="14318" max="14318" width="3.77734375" style="49" customWidth="1"/>
    <col min="14319" max="14319" width="16.44140625" style="49" customWidth="1"/>
    <col min="14320" max="14320" width="17.33203125" style="49" customWidth="1"/>
    <col min="14321" max="14324" width="16.44140625" style="49" customWidth="1"/>
    <col min="14325" max="14326" width="9.33203125" style="49" customWidth="1"/>
    <col min="14327" max="14327" width="18.77734375" style="49" customWidth="1"/>
    <col min="14328" max="14328" width="16.44140625" style="49" customWidth="1"/>
    <col min="14329" max="14329" width="17.77734375" style="49" customWidth="1"/>
    <col min="14330" max="14332" width="16.44140625" style="49" customWidth="1"/>
    <col min="14333" max="14333" width="17.77734375" style="49" bestFit="1" customWidth="1"/>
    <col min="14334" max="14334" width="16.44140625" style="49" customWidth="1"/>
    <col min="14335" max="14335" width="21" style="49" customWidth="1"/>
    <col min="14336" max="14336" width="16.44140625" style="49" customWidth="1"/>
    <col min="14337" max="14337" width="18.33203125" style="49" bestFit="1" customWidth="1"/>
    <col min="14338" max="14338" width="19.109375" style="49" customWidth="1"/>
    <col min="14339" max="14340" width="18.33203125" style="49" customWidth="1"/>
    <col min="14341" max="14341" width="8.77734375" style="49"/>
    <col min="14342" max="14343" width="16.77734375" style="49" customWidth="1"/>
    <col min="14344" max="14345" width="11.6640625" style="49" customWidth="1"/>
    <col min="14346" max="14346" width="8.77734375" style="49"/>
    <col min="14347" max="14347" width="18.33203125" style="49" customWidth="1"/>
    <col min="14348" max="14348" width="16.44140625" style="49" customWidth="1"/>
    <col min="14349" max="14349" width="9.44140625" style="49" bestFit="1" customWidth="1"/>
    <col min="14350" max="14350" width="17.6640625" style="49" customWidth="1"/>
    <col min="14351" max="14351" width="14.77734375" style="49" bestFit="1" customWidth="1"/>
    <col min="14352" max="14562" width="8.77734375" style="49"/>
    <col min="14563" max="14563" width="24.109375" style="49" customWidth="1"/>
    <col min="14564" max="14566" width="16.44140625" style="49" customWidth="1"/>
    <col min="14567" max="14567" width="18" style="49" customWidth="1"/>
    <col min="14568" max="14568" width="16.44140625" style="49" customWidth="1"/>
    <col min="14569" max="14569" width="4" style="49" customWidth="1"/>
    <col min="14570" max="14572" width="9.33203125" style="49" customWidth="1"/>
    <col min="14573" max="14573" width="22.44140625" style="49" customWidth="1"/>
    <col min="14574" max="14574" width="3.77734375" style="49" customWidth="1"/>
    <col min="14575" max="14575" width="16.44140625" style="49" customWidth="1"/>
    <col min="14576" max="14576" width="17.33203125" style="49" customWidth="1"/>
    <col min="14577" max="14580" width="16.44140625" style="49" customWidth="1"/>
    <col min="14581" max="14582" width="9.33203125" style="49" customWidth="1"/>
    <col min="14583" max="14583" width="18.77734375" style="49" customWidth="1"/>
    <col min="14584" max="14584" width="16.44140625" style="49" customWidth="1"/>
    <col min="14585" max="14585" width="17.77734375" style="49" customWidth="1"/>
    <col min="14586" max="14588" width="16.44140625" style="49" customWidth="1"/>
    <col min="14589" max="14589" width="17.77734375" style="49" bestFit="1" customWidth="1"/>
    <col min="14590" max="14590" width="16.44140625" style="49" customWidth="1"/>
    <col min="14591" max="14591" width="21" style="49" customWidth="1"/>
    <col min="14592" max="14592" width="16.44140625" style="49" customWidth="1"/>
    <col min="14593" max="14593" width="18.33203125" style="49" bestFit="1" customWidth="1"/>
    <col min="14594" max="14594" width="19.109375" style="49" customWidth="1"/>
    <col min="14595" max="14596" width="18.33203125" style="49" customWidth="1"/>
    <col min="14597" max="14597" width="8.77734375" style="49"/>
    <col min="14598" max="14599" width="16.77734375" style="49" customWidth="1"/>
    <col min="14600" max="14601" width="11.6640625" style="49" customWidth="1"/>
    <col min="14602" max="14602" width="8.77734375" style="49"/>
    <col min="14603" max="14603" width="18.33203125" style="49" customWidth="1"/>
    <col min="14604" max="14604" width="16.44140625" style="49" customWidth="1"/>
    <col min="14605" max="14605" width="9.44140625" style="49" bestFit="1" customWidth="1"/>
    <col min="14606" max="14606" width="17.6640625" style="49" customWidth="1"/>
    <col min="14607" max="14607" width="14.77734375" style="49" bestFit="1" customWidth="1"/>
    <col min="14608" max="14818" width="8.77734375" style="49"/>
    <col min="14819" max="14819" width="24.109375" style="49" customWidth="1"/>
    <col min="14820" max="14822" width="16.44140625" style="49" customWidth="1"/>
    <col min="14823" max="14823" width="18" style="49" customWidth="1"/>
    <col min="14824" max="14824" width="16.44140625" style="49" customWidth="1"/>
    <col min="14825" max="14825" width="4" style="49" customWidth="1"/>
    <col min="14826" max="14828" width="9.33203125" style="49" customWidth="1"/>
    <col min="14829" max="14829" width="22.44140625" style="49" customWidth="1"/>
    <col min="14830" max="14830" width="3.77734375" style="49" customWidth="1"/>
    <col min="14831" max="14831" width="16.44140625" style="49" customWidth="1"/>
    <col min="14832" max="14832" width="17.33203125" style="49" customWidth="1"/>
    <col min="14833" max="14836" width="16.44140625" style="49" customWidth="1"/>
    <col min="14837" max="14838" width="9.33203125" style="49" customWidth="1"/>
    <col min="14839" max="14839" width="18.77734375" style="49" customWidth="1"/>
    <col min="14840" max="14840" width="16.44140625" style="49" customWidth="1"/>
    <col min="14841" max="14841" width="17.77734375" style="49" customWidth="1"/>
    <col min="14842" max="14844" width="16.44140625" style="49" customWidth="1"/>
    <col min="14845" max="14845" width="17.77734375" style="49" bestFit="1" customWidth="1"/>
    <col min="14846" max="14846" width="16.44140625" style="49" customWidth="1"/>
    <col min="14847" max="14847" width="21" style="49" customWidth="1"/>
    <col min="14848" max="14848" width="16.44140625" style="49" customWidth="1"/>
    <col min="14849" max="14849" width="18.33203125" style="49" bestFit="1" customWidth="1"/>
    <col min="14850" max="14850" width="19.109375" style="49" customWidth="1"/>
    <col min="14851" max="14852" width="18.33203125" style="49" customWidth="1"/>
    <col min="14853" max="14853" width="8.77734375" style="49"/>
    <col min="14854" max="14855" width="16.77734375" style="49" customWidth="1"/>
    <col min="14856" max="14857" width="11.6640625" style="49" customWidth="1"/>
    <col min="14858" max="14858" width="8.77734375" style="49"/>
    <col min="14859" max="14859" width="18.33203125" style="49" customWidth="1"/>
    <col min="14860" max="14860" width="16.44140625" style="49" customWidth="1"/>
    <col min="14861" max="14861" width="9.44140625" style="49" bestFit="1" customWidth="1"/>
    <col min="14862" max="14862" width="17.6640625" style="49" customWidth="1"/>
    <col min="14863" max="14863" width="14.77734375" style="49" bestFit="1" customWidth="1"/>
    <col min="14864" max="15074" width="8.77734375" style="49"/>
    <col min="15075" max="15075" width="24.109375" style="49" customWidth="1"/>
    <col min="15076" max="15078" width="16.44140625" style="49" customWidth="1"/>
    <col min="15079" max="15079" width="18" style="49" customWidth="1"/>
    <col min="15080" max="15080" width="16.44140625" style="49" customWidth="1"/>
    <col min="15081" max="15081" width="4" style="49" customWidth="1"/>
    <col min="15082" max="15084" width="9.33203125" style="49" customWidth="1"/>
    <col min="15085" max="15085" width="22.44140625" style="49" customWidth="1"/>
    <col min="15086" max="15086" width="3.77734375" style="49" customWidth="1"/>
    <col min="15087" max="15087" width="16.44140625" style="49" customWidth="1"/>
    <col min="15088" max="15088" width="17.33203125" style="49" customWidth="1"/>
    <col min="15089" max="15092" width="16.44140625" style="49" customWidth="1"/>
    <col min="15093" max="15094" width="9.33203125" style="49" customWidth="1"/>
    <col min="15095" max="15095" width="18.77734375" style="49" customWidth="1"/>
    <col min="15096" max="15096" width="16.44140625" style="49" customWidth="1"/>
    <col min="15097" max="15097" width="17.77734375" style="49" customWidth="1"/>
    <col min="15098" max="15100" width="16.44140625" style="49" customWidth="1"/>
    <col min="15101" max="15101" width="17.77734375" style="49" bestFit="1" customWidth="1"/>
    <col min="15102" max="15102" width="16.44140625" style="49" customWidth="1"/>
    <col min="15103" max="15103" width="21" style="49" customWidth="1"/>
    <col min="15104" max="15104" width="16.44140625" style="49" customWidth="1"/>
    <col min="15105" max="15105" width="18.33203125" style="49" bestFit="1" customWidth="1"/>
    <col min="15106" max="15106" width="19.109375" style="49" customWidth="1"/>
    <col min="15107" max="15108" width="18.33203125" style="49" customWidth="1"/>
    <col min="15109" max="15109" width="8.77734375" style="49"/>
    <col min="15110" max="15111" width="16.77734375" style="49" customWidth="1"/>
    <col min="15112" max="15113" width="11.6640625" style="49" customWidth="1"/>
    <col min="15114" max="15114" width="8.77734375" style="49"/>
    <col min="15115" max="15115" width="18.33203125" style="49" customWidth="1"/>
    <col min="15116" max="15116" width="16.44140625" style="49" customWidth="1"/>
    <col min="15117" max="15117" width="9.44140625" style="49" bestFit="1" customWidth="1"/>
    <col min="15118" max="15118" width="17.6640625" style="49" customWidth="1"/>
    <col min="15119" max="15119" width="14.77734375" style="49" bestFit="1" customWidth="1"/>
    <col min="15120" max="15330" width="8.77734375" style="49"/>
    <col min="15331" max="15331" width="24.109375" style="49" customWidth="1"/>
    <col min="15332" max="15334" width="16.44140625" style="49" customWidth="1"/>
    <col min="15335" max="15335" width="18" style="49" customWidth="1"/>
    <col min="15336" max="15336" width="16.44140625" style="49" customWidth="1"/>
    <col min="15337" max="15337" width="4" style="49" customWidth="1"/>
    <col min="15338" max="15340" width="9.33203125" style="49" customWidth="1"/>
    <col min="15341" max="15341" width="22.44140625" style="49" customWidth="1"/>
    <col min="15342" max="15342" width="3.77734375" style="49" customWidth="1"/>
    <col min="15343" max="15343" width="16.44140625" style="49" customWidth="1"/>
    <col min="15344" max="15344" width="17.33203125" style="49" customWidth="1"/>
    <col min="15345" max="15348" width="16.44140625" style="49" customWidth="1"/>
    <col min="15349" max="15350" width="9.33203125" style="49" customWidth="1"/>
    <col min="15351" max="15351" width="18.77734375" style="49" customWidth="1"/>
    <col min="15352" max="15352" width="16.44140625" style="49" customWidth="1"/>
    <col min="15353" max="15353" width="17.77734375" style="49" customWidth="1"/>
    <col min="15354" max="15356" width="16.44140625" style="49" customWidth="1"/>
    <col min="15357" max="15357" width="17.77734375" style="49" bestFit="1" customWidth="1"/>
    <col min="15358" max="15358" width="16.44140625" style="49" customWidth="1"/>
    <col min="15359" max="15359" width="21" style="49" customWidth="1"/>
    <col min="15360" max="15360" width="16.44140625" style="49" customWidth="1"/>
    <col min="15361" max="15361" width="18.33203125" style="49" bestFit="1" customWidth="1"/>
    <col min="15362" max="15362" width="19.109375" style="49" customWidth="1"/>
    <col min="15363" max="15364" width="18.33203125" style="49" customWidth="1"/>
    <col min="15365" max="15365" width="8.77734375" style="49"/>
    <col min="15366" max="15367" width="16.77734375" style="49" customWidth="1"/>
    <col min="15368" max="15369" width="11.6640625" style="49" customWidth="1"/>
    <col min="15370" max="15370" width="8.77734375" style="49"/>
    <col min="15371" max="15371" width="18.33203125" style="49" customWidth="1"/>
    <col min="15372" max="15372" width="16.44140625" style="49" customWidth="1"/>
    <col min="15373" max="15373" width="9.44140625" style="49" bestFit="1" customWidth="1"/>
    <col min="15374" max="15374" width="17.6640625" style="49" customWidth="1"/>
    <col min="15375" max="15375" width="14.77734375" style="49" bestFit="1" customWidth="1"/>
    <col min="15376" max="15586" width="8.77734375" style="49"/>
    <col min="15587" max="15587" width="24.109375" style="49" customWidth="1"/>
    <col min="15588" max="15590" width="16.44140625" style="49" customWidth="1"/>
    <col min="15591" max="15591" width="18" style="49" customWidth="1"/>
    <col min="15592" max="15592" width="16.44140625" style="49" customWidth="1"/>
    <col min="15593" max="15593" width="4" style="49" customWidth="1"/>
    <col min="15594" max="15596" width="9.33203125" style="49" customWidth="1"/>
    <col min="15597" max="15597" width="22.44140625" style="49" customWidth="1"/>
    <col min="15598" max="15598" width="3.77734375" style="49" customWidth="1"/>
    <col min="15599" max="15599" width="16.44140625" style="49" customWidth="1"/>
    <col min="15600" max="15600" width="17.33203125" style="49" customWidth="1"/>
    <col min="15601" max="15604" width="16.44140625" style="49" customWidth="1"/>
    <col min="15605" max="15606" width="9.33203125" style="49" customWidth="1"/>
    <col min="15607" max="15607" width="18.77734375" style="49" customWidth="1"/>
    <col min="15608" max="15608" width="16.44140625" style="49" customWidth="1"/>
    <col min="15609" max="15609" width="17.77734375" style="49" customWidth="1"/>
    <col min="15610" max="15612" width="16.44140625" style="49" customWidth="1"/>
    <col min="15613" max="15613" width="17.77734375" style="49" bestFit="1" customWidth="1"/>
    <col min="15614" max="15614" width="16.44140625" style="49" customWidth="1"/>
    <col min="15615" max="15615" width="21" style="49" customWidth="1"/>
    <col min="15616" max="15616" width="16.44140625" style="49" customWidth="1"/>
    <col min="15617" max="15617" width="18.33203125" style="49" bestFit="1" customWidth="1"/>
    <col min="15618" max="15618" width="19.109375" style="49" customWidth="1"/>
    <col min="15619" max="15620" width="18.33203125" style="49" customWidth="1"/>
    <col min="15621" max="15621" width="8.77734375" style="49"/>
    <col min="15622" max="15623" width="16.77734375" style="49" customWidth="1"/>
    <col min="15624" max="15625" width="11.6640625" style="49" customWidth="1"/>
    <col min="15626" max="15626" width="8.77734375" style="49"/>
    <col min="15627" max="15627" width="18.33203125" style="49" customWidth="1"/>
    <col min="15628" max="15628" width="16.44140625" style="49" customWidth="1"/>
    <col min="15629" max="15629" width="9.44140625" style="49" bestFit="1" customWidth="1"/>
    <col min="15630" max="15630" width="17.6640625" style="49" customWidth="1"/>
    <col min="15631" max="15631" width="14.77734375" style="49" bestFit="1" customWidth="1"/>
    <col min="15632" max="15842" width="8.77734375" style="49"/>
    <col min="15843" max="15843" width="24.109375" style="49" customWidth="1"/>
    <col min="15844" max="15846" width="16.44140625" style="49" customWidth="1"/>
    <col min="15847" max="15847" width="18" style="49" customWidth="1"/>
    <col min="15848" max="15848" width="16.44140625" style="49" customWidth="1"/>
    <col min="15849" max="15849" width="4" style="49" customWidth="1"/>
    <col min="15850" max="15852" width="9.33203125" style="49" customWidth="1"/>
    <col min="15853" max="15853" width="22.44140625" style="49" customWidth="1"/>
    <col min="15854" max="15854" width="3.77734375" style="49" customWidth="1"/>
    <col min="15855" max="15855" width="16.44140625" style="49" customWidth="1"/>
    <col min="15856" max="15856" width="17.33203125" style="49" customWidth="1"/>
    <col min="15857" max="15860" width="16.44140625" style="49" customWidth="1"/>
    <col min="15861" max="15862" width="9.33203125" style="49" customWidth="1"/>
    <col min="15863" max="15863" width="18.77734375" style="49" customWidth="1"/>
    <col min="15864" max="15864" width="16.44140625" style="49" customWidth="1"/>
    <col min="15865" max="15865" width="17.77734375" style="49" customWidth="1"/>
    <col min="15866" max="15868" width="16.44140625" style="49" customWidth="1"/>
    <col min="15869" max="15869" width="17.77734375" style="49" bestFit="1" customWidth="1"/>
    <col min="15870" max="15870" width="16.44140625" style="49" customWidth="1"/>
    <col min="15871" max="15871" width="21" style="49" customWidth="1"/>
    <col min="15872" max="15872" width="16.44140625" style="49" customWidth="1"/>
    <col min="15873" max="15873" width="18.33203125" style="49" bestFit="1" customWidth="1"/>
    <col min="15874" max="15874" width="19.109375" style="49" customWidth="1"/>
    <col min="15875" max="15876" width="18.33203125" style="49" customWidth="1"/>
    <col min="15877" max="15877" width="8.77734375" style="49"/>
    <col min="15878" max="15879" width="16.77734375" style="49" customWidth="1"/>
    <col min="15880" max="15881" width="11.6640625" style="49" customWidth="1"/>
    <col min="15882" max="15882" width="8.77734375" style="49"/>
    <col min="15883" max="15883" width="18.33203125" style="49" customWidth="1"/>
    <col min="15884" max="15884" width="16.44140625" style="49" customWidth="1"/>
    <col min="15885" max="15885" width="9.44140625" style="49" bestFit="1" customWidth="1"/>
    <col min="15886" max="15886" width="17.6640625" style="49" customWidth="1"/>
    <col min="15887" max="15887" width="14.77734375" style="49" bestFit="1" customWidth="1"/>
    <col min="15888" max="16098" width="8.77734375" style="49"/>
    <col min="16099" max="16099" width="24.109375" style="49" customWidth="1"/>
    <col min="16100" max="16102" width="16.44140625" style="49" customWidth="1"/>
    <col min="16103" max="16103" width="18" style="49" customWidth="1"/>
    <col min="16104" max="16104" width="16.44140625" style="49" customWidth="1"/>
    <col min="16105" max="16105" width="4" style="49" customWidth="1"/>
    <col min="16106" max="16108" width="9.33203125" style="49" customWidth="1"/>
    <col min="16109" max="16109" width="22.44140625" style="49" customWidth="1"/>
    <col min="16110" max="16110" width="3.77734375" style="49" customWidth="1"/>
    <col min="16111" max="16111" width="16.44140625" style="49" customWidth="1"/>
    <col min="16112" max="16112" width="17.33203125" style="49" customWidth="1"/>
    <col min="16113" max="16116" width="16.44140625" style="49" customWidth="1"/>
    <col min="16117" max="16118" width="9.33203125" style="49" customWidth="1"/>
    <col min="16119" max="16119" width="18.77734375" style="49" customWidth="1"/>
    <col min="16120" max="16120" width="16.44140625" style="49" customWidth="1"/>
    <col min="16121" max="16121" width="17.77734375" style="49" customWidth="1"/>
    <col min="16122" max="16124" width="16.44140625" style="49" customWidth="1"/>
    <col min="16125" max="16125" width="17.77734375" style="49" bestFit="1" customWidth="1"/>
    <col min="16126" max="16126" width="16.44140625" style="49" customWidth="1"/>
    <col min="16127" max="16127" width="21" style="49" customWidth="1"/>
    <col min="16128" max="16128" width="16.44140625" style="49" customWidth="1"/>
    <col min="16129" max="16129" width="18.33203125" style="49" bestFit="1" customWidth="1"/>
    <col min="16130" max="16130" width="19.109375" style="49" customWidth="1"/>
    <col min="16131" max="16132" width="18.33203125" style="49" customWidth="1"/>
    <col min="16133" max="16133" width="8.77734375" style="49"/>
    <col min="16134" max="16135" width="16.77734375" style="49" customWidth="1"/>
    <col min="16136" max="16137" width="11.6640625" style="49" customWidth="1"/>
    <col min="16138" max="16138" width="8.77734375" style="49"/>
    <col min="16139" max="16139" width="18.33203125" style="49" customWidth="1"/>
    <col min="16140" max="16140" width="16.44140625" style="49" customWidth="1"/>
    <col min="16141" max="16141" width="9.44140625" style="49" bestFit="1" customWidth="1"/>
    <col min="16142" max="16142" width="17.6640625" style="49" customWidth="1"/>
    <col min="16143" max="16143" width="14.77734375" style="49" bestFit="1" customWidth="1"/>
    <col min="16144" max="16382" width="8.77734375" style="49"/>
    <col min="16383" max="16384" width="8.77734375" style="49" customWidth="1"/>
  </cols>
  <sheetData>
    <row r="1" spans="1:21" s="46" customFormat="1" ht="18.75" customHeight="1">
      <c r="A1" s="232" t="s">
        <v>167</v>
      </c>
      <c r="B1" s="45"/>
      <c r="C1" s="45"/>
      <c r="D1" s="45"/>
      <c r="E1" s="45"/>
      <c r="F1" s="45"/>
      <c r="G1" s="45"/>
      <c r="H1" s="45"/>
      <c r="I1" s="45"/>
      <c r="Q1" s="65"/>
      <c r="R1" s="65"/>
      <c r="S1" s="65"/>
    </row>
    <row r="2" spans="1:21" s="47" customFormat="1" ht="6" customHeight="1">
      <c r="A2" s="61"/>
      <c r="T2" s="48"/>
    </row>
    <row r="3" spans="1:21" ht="15.75" customHeight="1" thickBot="1">
      <c r="A3" s="206"/>
      <c r="B3" s="113">
        <v>-1</v>
      </c>
      <c r="C3" s="113">
        <v>-2</v>
      </c>
      <c r="D3" s="113">
        <v>-3</v>
      </c>
      <c r="E3" s="113">
        <v>-4</v>
      </c>
      <c r="F3" s="113">
        <v>-5</v>
      </c>
      <c r="G3" s="44" t="s">
        <v>56</v>
      </c>
      <c r="H3" s="44" t="s">
        <v>57</v>
      </c>
      <c r="I3" s="44" t="s">
        <v>58</v>
      </c>
      <c r="J3" s="44" t="s">
        <v>67</v>
      </c>
      <c r="K3" s="44"/>
      <c r="L3" s="44" t="s">
        <v>71</v>
      </c>
      <c r="M3" s="44"/>
      <c r="N3" s="44" t="s">
        <v>59</v>
      </c>
      <c r="O3" s="44"/>
      <c r="P3" s="44"/>
      <c r="Q3" s="44" t="s">
        <v>95</v>
      </c>
      <c r="R3" s="44"/>
      <c r="S3" s="44"/>
      <c r="T3" s="44" t="s">
        <v>96</v>
      </c>
    </row>
    <row r="4" spans="1:21" ht="13.8" customHeight="1">
      <c r="A4" s="110"/>
      <c r="B4" s="451" t="s">
        <v>68</v>
      </c>
      <c r="C4" s="452"/>
      <c r="D4" s="452"/>
      <c r="E4" s="452"/>
      <c r="F4" s="453"/>
      <c r="G4" s="451" t="s">
        <v>78</v>
      </c>
      <c r="H4" s="452"/>
      <c r="I4" s="452"/>
      <c r="J4" s="452"/>
      <c r="K4" s="452"/>
      <c r="L4" s="452"/>
      <c r="M4" s="190"/>
      <c r="N4" s="451" t="s">
        <v>79</v>
      </c>
      <c r="O4" s="452"/>
      <c r="P4" s="452"/>
      <c r="Q4" s="452"/>
      <c r="R4" s="452"/>
      <c r="S4" s="452"/>
      <c r="T4" s="453"/>
      <c r="U4" s="46"/>
    </row>
    <row r="5" spans="1:21" s="52" customFormat="1" ht="72" customHeight="1" thickBot="1">
      <c r="A5" s="288"/>
      <c r="B5" s="289" t="s">
        <v>92</v>
      </c>
      <c r="C5" s="290" t="s">
        <v>109</v>
      </c>
      <c r="D5" s="290" t="s">
        <v>94</v>
      </c>
      <c r="E5" s="290" t="s">
        <v>93</v>
      </c>
      <c r="F5" s="291" t="s">
        <v>123</v>
      </c>
      <c r="G5" s="292" t="s">
        <v>101</v>
      </c>
      <c r="H5" s="457" t="s">
        <v>136</v>
      </c>
      <c r="I5" s="458"/>
      <c r="J5" s="459"/>
      <c r="K5" s="457" t="s">
        <v>80</v>
      </c>
      <c r="L5" s="458"/>
      <c r="M5" s="458"/>
      <c r="N5" s="293" t="s">
        <v>81</v>
      </c>
      <c r="O5" s="290"/>
      <c r="P5" s="458" t="s">
        <v>82</v>
      </c>
      <c r="Q5" s="458"/>
      <c r="R5" s="458"/>
      <c r="S5" s="290"/>
      <c r="T5" s="294" t="s">
        <v>83</v>
      </c>
      <c r="U5" s="120"/>
    </row>
    <row r="6" spans="1:21" s="64" customFormat="1" ht="13.2">
      <c r="A6" s="96"/>
      <c r="B6" s="455" t="s">
        <v>61</v>
      </c>
      <c r="C6" s="456"/>
      <c r="D6" s="456"/>
      <c r="E6" s="456"/>
      <c r="F6" s="261"/>
      <c r="G6" s="265"/>
      <c r="H6" s="181" t="s">
        <v>61</v>
      </c>
      <c r="I6" s="109" t="s">
        <v>62</v>
      </c>
      <c r="J6" s="191" t="s">
        <v>69</v>
      </c>
      <c r="K6" s="181"/>
      <c r="L6" s="109" t="s">
        <v>70</v>
      </c>
      <c r="M6" s="109"/>
      <c r="N6" s="454" t="s">
        <v>135</v>
      </c>
      <c r="O6" s="178"/>
      <c r="P6" s="178"/>
      <c r="T6" s="185"/>
      <c r="U6" s="63"/>
    </row>
    <row r="7" spans="1:21" s="64" customFormat="1" ht="19.2" customHeight="1">
      <c r="A7" s="96"/>
      <c r="B7" s="96"/>
      <c r="C7" s="63"/>
      <c r="D7" s="63"/>
      <c r="E7" s="180" t="s">
        <v>134</v>
      </c>
      <c r="F7" s="262"/>
      <c r="G7" s="266"/>
      <c r="H7" s="213"/>
      <c r="I7" s="108"/>
      <c r="J7" s="89" t="s">
        <v>97</v>
      </c>
      <c r="K7" s="192"/>
      <c r="L7" s="108" t="s">
        <v>121</v>
      </c>
      <c r="M7" s="108"/>
      <c r="N7" s="454"/>
      <c r="O7" s="178"/>
      <c r="P7" s="178"/>
      <c r="Q7" s="179" t="s">
        <v>98</v>
      </c>
      <c r="R7" s="179"/>
      <c r="S7" s="179"/>
      <c r="T7" s="99" t="s">
        <v>99</v>
      </c>
      <c r="U7" s="63"/>
    </row>
    <row r="8" spans="1:21" s="52" customFormat="1">
      <c r="A8" s="51"/>
      <c r="B8" s="51"/>
      <c r="C8" s="120"/>
      <c r="D8" s="50"/>
      <c r="E8" s="120"/>
      <c r="F8" s="182"/>
      <c r="G8" s="267"/>
      <c r="H8" s="182"/>
      <c r="I8" s="120"/>
      <c r="J8" s="117"/>
      <c r="K8" s="182"/>
      <c r="L8" s="120"/>
      <c r="M8" s="120"/>
      <c r="N8" s="51"/>
      <c r="O8" s="120"/>
      <c r="P8" s="120"/>
      <c r="T8" s="62"/>
      <c r="U8" s="50"/>
    </row>
    <row r="9" spans="1:21" ht="13.2" customHeight="1">
      <c r="A9" s="97" t="s">
        <v>0</v>
      </c>
      <c r="B9" s="257">
        <v>7056</v>
      </c>
      <c r="C9" s="207"/>
      <c r="D9" s="209">
        <v>160</v>
      </c>
      <c r="E9" s="323">
        <f t="shared" ref="E9:E31" si="0">B9+D9+C9</f>
        <v>7216</v>
      </c>
      <c r="F9" s="184">
        <v>143.86000000000001</v>
      </c>
      <c r="G9" s="268"/>
      <c r="H9" s="183">
        <v>827000</v>
      </c>
      <c r="I9" s="88">
        <v>38000</v>
      </c>
      <c r="J9" s="215">
        <f>H9+I9</f>
        <v>865000</v>
      </c>
      <c r="K9" s="183"/>
      <c r="L9" s="239">
        <v>983000</v>
      </c>
      <c r="M9" s="239"/>
      <c r="N9" s="97">
        <f t="shared" ref="N9:N31" si="1">ROUND(D9*-1318/1000,0)*1000</f>
        <v>-211000</v>
      </c>
      <c r="O9" s="239"/>
      <c r="P9" s="239"/>
      <c r="Q9" s="239">
        <f>L9+N9</f>
        <v>772000</v>
      </c>
      <c r="R9" s="241"/>
      <c r="S9" s="241"/>
      <c r="T9" s="242">
        <f>G9+J9+Q9</f>
        <v>1637000</v>
      </c>
      <c r="U9" s="95"/>
    </row>
    <row r="10" spans="1:21" ht="13.2" customHeight="1">
      <c r="A10" s="87" t="s">
        <v>1</v>
      </c>
      <c r="B10" s="257">
        <v>3367</v>
      </c>
      <c r="C10" s="207">
        <v>1033</v>
      </c>
      <c r="D10" s="209">
        <v>600</v>
      </c>
      <c r="E10" s="323">
        <f t="shared" si="0"/>
        <v>5000</v>
      </c>
      <c r="F10" s="184">
        <v>23.33</v>
      </c>
      <c r="G10" s="268">
        <v>6342000</v>
      </c>
      <c r="H10" s="184">
        <v>-234000</v>
      </c>
      <c r="I10" s="86">
        <v>55000</v>
      </c>
      <c r="J10" s="217">
        <f>H10+I10</f>
        <v>-179000</v>
      </c>
      <c r="K10" s="184"/>
      <c r="L10" s="208">
        <v>3630000</v>
      </c>
      <c r="M10" s="208"/>
      <c r="N10" s="87">
        <f t="shared" si="1"/>
        <v>-791000</v>
      </c>
      <c r="O10" s="208"/>
      <c r="P10" s="208"/>
      <c r="Q10" s="208">
        <f>L10+N10</f>
        <v>2839000</v>
      </c>
      <c r="R10" s="244"/>
      <c r="S10" s="244"/>
      <c r="T10" s="245">
        <f>G10+J10+Q10</f>
        <v>9002000</v>
      </c>
      <c r="U10" s="95"/>
    </row>
    <row r="11" spans="1:21" ht="13.2" customHeight="1">
      <c r="A11" s="87" t="s">
        <v>2</v>
      </c>
      <c r="B11" s="257">
        <v>14363</v>
      </c>
      <c r="C11" s="207"/>
      <c r="D11" s="209">
        <v>200</v>
      </c>
      <c r="E11" s="323">
        <f t="shared" si="0"/>
        <v>14563</v>
      </c>
      <c r="F11" s="184">
        <v>583.80999999999995</v>
      </c>
      <c r="G11" s="269"/>
      <c r="H11" s="184">
        <v>990000</v>
      </c>
      <c r="I11" s="86">
        <v>351000</v>
      </c>
      <c r="J11" s="217">
        <f t="shared" ref="J11:J31" si="2">H11+I11</f>
        <v>1341000</v>
      </c>
      <c r="K11" s="184"/>
      <c r="L11" s="208">
        <v>1168000</v>
      </c>
      <c r="M11" s="208"/>
      <c r="N11" s="87">
        <f t="shared" si="1"/>
        <v>-264000</v>
      </c>
      <c r="O11" s="208"/>
      <c r="P11" s="208"/>
      <c r="Q11" s="208">
        <f t="shared" ref="Q11:Q31" si="3">L11+N11</f>
        <v>904000</v>
      </c>
      <c r="R11" s="244"/>
      <c r="S11" s="244"/>
      <c r="T11" s="245">
        <f t="shared" ref="T11:T31" si="4">G11+J11+Q11</f>
        <v>2245000</v>
      </c>
      <c r="U11" s="95"/>
    </row>
    <row r="12" spans="1:21" ht="13.2" customHeight="1">
      <c r="A12" s="87" t="s">
        <v>3</v>
      </c>
      <c r="B12" s="257">
        <v>9628</v>
      </c>
      <c r="C12" s="207"/>
      <c r="D12" s="209">
        <v>300</v>
      </c>
      <c r="E12" s="323">
        <f t="shared" si="0"/>
        <v>9928</v>
      </c>
      <c r="F12" s="184">
        <v>81.63</v>
      </c>
      <c r="G12" s="269"/>
      <c r="H12" s="184">
        <v>97000</v>
      </c>
      <c r="I12" s="86">
        <v>-31000</v>
      </c>
      <c r="J12" s="217">
        <f t="shared" si="2"/>
        <v>66000</v>
      </c>
      <c r="K12" s="184"/>
      <c r="L12" s="208">
        <v>2075000</v>
      </c>
      <c r="M12" s="208"/>
      <c r="N12" s="87">
        <f t="shared" si="1"/>
        <v>-395000</v>
      </c>
      <c r="O12" s="208"/>
      <c r="P12" s="208"/>
      <c r="Q12" s="208">
        <f t="shared" si="3"/>
        <v>1680000</v>
      </c>
      <c r="R12" s="244"/>
      <c r="S12" s="244"/>
      <c r="T12" s="245">
        <f t="shared" si="4"/>
        <v>1746000</v>
      </c>
      <c r="U12" s="95"/>
    </row>
    <row r="13" spans="1:21" ht="13.2" customHeight="1">
      <c r="A13" s="87" t="s">
        <v>28</v>
      </c>
      <c r="B13" s="257">
        <v>11436</v>
      </c>
      <c r="C13" s="207"/>
      <c r="D13" s="209">
        <v>325</v>
      </c>
      <c r="E13" s="323">
        <f t="shared" si="0"/>
        <v>11761</v>
      </c>
      <c r="F13" s="184">
        <v>1044.08</v>
      </c>
      <c r="G13" s="269"/>
      <c r="H13" s="184">
        <v>1243000</v>
      </c>
      <c r="I13" s="86">
        <v>-206000</v>
      </c>
      <c r="J13" s="217">
        <f t="shared" si="2"/>
        <v>1037000</v>
      </c>
      <c r="K13" s="184"/>
      <c r="L13" s="208">
        <v>2063000</v>
      </c>
      <c r="M13" s="208"/>
      <c r="N13" s="87">
        <f t="shared" si="1"/>
        <v>-428000</v>
      </c>
      <c r="O13" s="208"/>
      <c r="P13" s="208"/>
      <c r="Q13" s="208">
        <f t="shared" si="3"/>
        <v>1635000</v>
      </c>
      <c r="R13" s="244"/>
      <c r="S13" s="244"/>
      <c r="T13" s="245">
        <f t="shared" si="4"/>
        <v>2672000</v>
      </c>
      <c r="U13" s="95"/>
    </row>
    <row r="14" spans="1:21" ht="13.2" customHeight="1">
      <c r="A14" s="87" t="s">
        <v>4</v>
      </c>
      <c r="B14" s="257">
        <v>17778</v>
      </c>
      <c r="C14" s="207"/>
      <c r="D14" s="209">
        <v>400</v>
      </c>
      <c r="E14" s="323">
        <f t="shared" si="0"/>
        <v>18178</v>
      </c>
      <c r="F14" s="184">
        <v>426.43</v>
      </c>
      <c r="G14" s="269"/>
      <c r="H14" s="184">
        <v>478000</v>
      </c>
      <c r="I14" s="86">
        <v>149000</v>
      </c>
      <c r="J14" s="217">
        <f t="shared" si="2"/>
        <v>627000</v>
      </c>
      <c r="K14" s="184"/>
      <c r="L14" s="208">
        <v>2472000</v>
      </c>
      <c r="M14" s="208"/>
      <c r="N14" s="87">
        <f t="shared" si="1"/>
        <v>-527000</v>
      </c>
      <c r="O14" s="208"/>
      <c r="P14" s="208"/>
      <c r="Q14" s="208">
        <f t="shared" si="3"/>
        <v>1945000</v>
      </c>
      <c r="R14" s="244"/>
      <c r="S14" s="244"/>
      <c r="T14" s="245">
        <f t="shared" si="4"/>
        <v>2572000</v>
      </c>
      <c r="U14" s="95"/>
    </row>
    <row r="15" spans="1:21" ht="13.2" customHeight="1">
      <c r="A15" s="87" t="s">
        <v>5</v>
      </c>
      <c r="B15" s="257">
        <v>27198</v>
      </c>
      <c r="C15" s="207"/>
      <c r="D15" s="209">
        <v>675</v>
      </c>
      <c r="E15" s="323">
        <f t="shared" si="0"/>
        <v>27873</v>
      </c>
      <c r="F15" s="184">
        <v>951.14</v>
      </c>
      <c r="G15" s="269"/>
      <c r="H15" s="184">
        <v>204000</v>
      </c>
      <c r="I15" s="86">
        <v>848000</v>
      </c>
      <c r="J15" s="217">
        <f t="shared" si="2"/>
        <v>1052000</v>
      </c>
      <c r="K15" s="184"/>
      <c r="L15" s="208">
        <v>4405000</v>
      </c>
      <c r="M15" s="208"/>
      <c r="N15" s="87">
        <f t="shared" si="1"/>
        <v>-890000</v>
      </c>
      <c r="O15" s="208"/>
      <c r="P15" s="208"/>
      <c r="Q15" s="208">
        <f t="shared" si="3"/>
        <v>3515000</v>
      </c>
      <c r="R15" s="244"/>
      <c r="S15" s="244"/>
      <c r="T15" s="245">
        <f t="shared" si="4"/>
        <v>4567000</v>
      </c>
      <c r="U15" s="95"/>
    </row>
    <row r="16" spans="1:21" ht="13.2" customHeight="1">
      <c r="A16" s="87" t="s">
        <v>6</v>
      </c>
      <c r="B16" s="257">
        <v>7151</v>
      </c>
      <c r="C16" s="207"/>
      <c r="D16" s="209">
        <v>100</v>
      </c>
      <c r="E16" s="323">
        <f t="shared" si="0"/>
        <v>7251</v>
      </c>
      <c r="F16" s="184">
        <v>201.66</v>
      </c>
      <c r="G16" s="269"/>
      <c r="H16" s="184">
        <v>436000</v>
      </c>
      <c r="I16" s="86">
        <v>70000</v>
      </c>
      <c r="J16" s="217">
        <f t="shared" si="2"/>
        <v>506000</v>
      </c>
      <c r="K16" s="184"/>
      <c r="L16" s="208">
        <v>579000</v>
      </c>
      <c r="M16" s="208"/>
      <c r="N16" s="87">
        <f t="shared" si="1"/>
        <v>-132000</v>
      </c>
      <c r="O16" s="208"/>
      <c r="P16" s="208"/>
      <c r="Q16" s="208">
        <f t="shared" si="3"/>
        <v>447000</v>
      </c>
      <c r="R16" s="244"/>
      <c r="S16" s="244"/>
      <c r="T16" s="245">
        <f t="shared" si="4"/>
        <v>953000</v>
      </c>
      <c r="U16" s="95"/>
    </row>
    <row r="17" spans="1:21" ht="13.2" customHeight="1">
      <c r="A17" s="87" t="s">
        <v>7</v>
      </c>
      <c r="B17" s="257">
        <v>27198</v>
      </c>
      <c r="C17" s="207"/>
      <c r="D17" s="209">
        <v>650</v>
      </c>
      <c r="E17" s="323">
        <f t="shared" si="0"/>
        <v>27848</v>
      </c>
      <c r="F17" s="184">
        <v>1067.78</v>
      </c>
      <c r="G17" s="269"/>
      <c r="H17" s="184">
        <v>2916000</v>
      </c>
      <c r="I17" s="86">
        <v>451000</v>
      </c>
      <c r="J17" s="217">
        <f t="shared" si="2"/>
        <v>3367000</v>
      </c>
      <c r="K17" s="184"/>
      <c r="L17" s="208">
        <v>4244000</v>
      </c>
      <c r="M17" s="208"/>
      <c r="N17" s="87">
        <f t="shared" si="1"/>
        <v>-857000</v>
      </c>
      <c r="O17" s="208"/>
      <c r="P17" s="208"/>
      <c r="Q17" s="208">
        <f t="shared" si="3"/>
        <v>3387000</v>
      </c>
      <c r="R17" s="244"/>
      <c r="S17" s="244"/>
      <c r="T17" s="245">
        <f t="shared" si="4"/>
        <v>6754000</v>
      </c>
      <c r="U17" s="95"/>
    </row>
    <row r="18" spans="1:21" s="55" customFormat="1" ht="13.2" customHeight="1">
      <c r="A18" s="87" t="s">
        <v>8</v>
      </c>
      <c r="B18" s="257">
        <v>16546</v>
      </c>
      <c r="C18" s="207"/>
      <c r="D18" s="209">
        <v>385</v>
      </c>
      <c r="E18" s="323">
        <f t="shared" si="0"/>
        <v>16931</v>
      </c>
      <c r="F18" s="184">
        <v>515.70000000000005</v>
      </c>
      <c r="G18" s="269"/>
      <c r="H18" s="184">
        <v>-560000</v>
      </c>
      <c r="I18" s="86">
        <v>324000</v>
      </c>
      <c r="J18" s="217">
        <f t="shared" si="2"/>
        <v>-236000</v>
      </c>
      <c r="K18" s="184"/>
      <c r="L18" s="208">
        <v>2617000</v>
      </c>
      <c r="M18" s="208"/>
      <c r="N18" s="87">
        <f t="shared" si="1"/>
        <v>-507000</v>
      </c>
      <c r="O18" s="208"/>
      <c r="P18" s="208"/>
      <c r="Q18" s="208">
        <f t="shared" si="3"/>
        <v>2110000</v>
      </c>
      <c r="R18" s="244"/>
      <c r="S18" s="244"/>
      <c r="T18" s="245">
        <f t="shared" si="4"/>
        <v>1874000</v>
      </c>
      <c r="U18" s="95"/>
    </row>
    <row r="19" spans="1:21" s="55" customFormat="1" ht="13.2" customHeight="1">
      <c r="A19" s="87" t="s">
        <v>9</v>
      </c>
      <c r="B19" s="257">
        <v>1106</v>
      </c>
      <c r="C19" s="207">
        <v>68</v>
      </c>
      <c r="D19" s="209">
        <v>127</v>
      </c>
      <c r="E19" s="323">
        <f t="shared" si="0"/>
        <v>1301</v>
      </c>
      <c r="F19" s="184">
        <v>34.93</v>
      </c>
      <c r="G19" s="269">
        <v>286000</v>
      </c>
      <c r="H19" s="184">
        <v>64000</v>
      </c>
      <c r="I19" s="86">
        <v>20000</v>
      </c>
      <c r="J19" s="217">
        <f t="shared" si="2"/>
        <v>84000</v>
      </c>
      <c r="K19" s="184"/>
      <c r="L19" s="208">
        <v>553000</v>
      </c>
      <c r="M19" s="208"/>
      <c r="N19" s="87">
        <f t="shared" si="1"/>
        <v>-167000</v>
      </c>
      <c r="O19" s="208"/>
      <c r="P19" s="208"/>
      <c r="Q19" s="208">
        <f t="shared" si="3"/>
        <v>386000</v>
      </c>
      <c r="R19" s="244"/>
      <c r="S19" s="244"/>
      <c r="T19" s="245">
        <f t="shared" si="4"/>
        <v>756000</v>
      </c>
      <c r="U19" s="95"/>
    </row>
    <row r="20" spans="1:21" s="55" customFormat="1" ht="13.2" customHeight="1">
      <c r="A20" s="87" t="s">
        <v>10</v>
      </c>
      <c r="B20" s="257">
        <v>4617</v>
      </c>
      <c r="C20" s="207"/>
      <c r="D20" s="209">
        <v>400</v>
      </c>
      <c r="E20" s="323">
        <f t="shared" si="0"/>
        <v>5017</v>
      </c>
      <c r="F20" s="184">
        <v>90.74</v>
      </c>
      <c r="G20" s="269"/>
      <c r="H20" s="184">
        <v>1305000</v>
      </c>
      <c r="I20" s="86">
        <v>14000</v>
      </c>
      <c r="J20" s="217">
        <f t="shared" si="2"/>
        <v>1319000</v>
      </c>
      <c r="K20" s="184"/>
      <c r="L20" s="208">
        <v>2294000</v>
      </c>
      <c r="M20" s="208"/>
      <c r="N20" s="87">
        <f t="shared" si="1"/>
        <v>-527000</v>
      </c>
      <c r="O20" s="208"/>
      <c r="P20" s="208"/>
      <c r="Q20" s="208">
        <f t="shared" si="3"/>
        <v>1767000</v>
      </c>
      <c r="R20" s="244"/>
      <c r="S20" s="244"/>
      <c r="T20" s="245">
        <f t="shared" si="4"/>
        <v>3086000</v>
      </c>
      <c r="U20" s="95"/>
    </row>
    <row r="21" spans="1:21" s="55" customFormat="1" ht="13.2" customHeight="1">
      <c r="A21" s="87" t="s">
        <v>11</v>
      </c>
      <c r="B21" s="257">
        <v>25573</v>
      </c>
      <c r="C21" s="207"/>
      <c r="D21" s="209">
        <v>570</v>
      </c>
      <c r="E21" s="323">
        <f t="shared" si="0"/>
        <v>26143</v>
      </c>
      <c r="F21" s="184">
        <v>1763.86</v>
      </c>
      <c r="G21" s="269"/>
      <c r="H21" s="184">
        <v>-4055000</v>
      </c>
      <c r="I21" s="86">
        <v>431000</v>
      </c>
      <c r="J21" s="217">
        <f t="shared" si="2"/>
        <v>-3624000</v>
      </c>
      <c r="K21" s="184"/>
      <c r="L21" s="208">
        <v>3726000</v>
      </c>
      <c r="M21" s="208"/>
      <c r="N21" s="87">
        <f t="shared" si="1"/>
        <v>-751000</v>
      </c>
      <c r="O21" s="208"/>
      <c r="P21" s="208"/>
      <c r="Q21" s="208">
        <f t="shared" si="3"/>
        <v>2975000</v>
      </c>
      <c r="R21" s="244"/>
      <c r="S21" s="244"/>
      <c r="T21" s="245">
        <f t="shared" si="4"/>
        <v>-649000</v>
      </c>
      <c r="U21" s="95"/>
    </row>
    <row r="22" spans="1:21" s="55" customFormat="1" ht="13.2" customHeight="1">
      <c r="A22" s="87" t="s">
        <v>12</v>
      </c>
      <c r="B22" s="257">
        <v>17356</v>
      </c>
      <c r="C22" s="207"/>
      <c r="D22" s="209">
        <v>400</v>
      </c>
      <c r="E22" s="323">
        <f t="shared" si="0"/>
        <v>17756</v>
      </c>
      <c r="F22" s="184">
        <v>579.33000000000004</v>
      </c>
      <c r="G22" s="269"/>
      <c r="H22" s="184">
        <v>158000</v>
      </c>
      <c r="I22" s="86">
        <v>300000</v>
      </c>
      <c r="J22" s="217">
        <f t="shared" si="2"/>
        <v>458000</v>
      </c>
      <c r="K22" s="184"/>
      <c r="L22" s="208">
        <v>2493000</v>
      </c>
      <c r="M22" s="208"/>
      <c r="N22" s="87">
        <f t="shared" si="1"/>
        <v>-527000</v>
      </c>
      <c r="O22" s="208"/>
      <c r="P22" s="208"/>
      <c r="Q22" s="208">
        <f t="shared" si="3"/>
        <v>1966000</v>
      </c>
      <c r="R22" s="244"/>
      <c r="S22" s="244"/>
      <c r="T22" s="245">
        <f t="shared" si="4"/>
        <v>2424000</v>
      </c>
      <c r="U22" s="95"/>
    </row>
    <row r="23" spans="1:21" s="55" customFormat="1" ht="13.2" customHeight="1">
      <c r="A23" s="87" t="s">
        <v>13</v>
      </c>
      <c r="B23" s="257">
        <v>21885</v>
      </c>
      <c r="C23" s="207"/>
      <c r="D23" s="209">
        <v>200</v>
      </c>
      <c r="E23" s="323">
        <f t="shared" si="0"/>
        <v>22085</v>
      </c>
      <c r="F23" s="184">
        <v>330.93</v>
      </c>
      <c r="G23" s="269"/>
      <c r="H23" s="184">
        <v>2839000</v>
      </c>
      <c r="I23" s="86">
        <v>-110000</v>
      </c>
      <c r="J23" s="217">
        <f t="shared" si="2"/>
        <v>2729000</v>
      </c>
      <c r="K23" s="184"/>
      <c r="L23" s="208">
        <v>1308000</v>
      </c>
      <c r="M23" s="208"/>
      <c r="N23" s="87">
        <f t="shared" si="1"/>
        <v>-264000</v>
      </c>
      <c r="O23" s="208"/>
      <c r="P23" s="208"/>
      <c r="Q23" s="208">
        <f t="shared" si="3"/>
        <v>1044000</v>
      </c>
      <c r="R23" s="244"/>
      <c r="S23" s="244"/>
      <c r="T23" s="245">
        <f t="shared" si="4"/>
        <v>3773000</v>
      </c>
      <c r="U23" s="95"/>
    </row>
    <row r="24" spans="1:21" s="55" customFormat="1" ht="13.2" customHeight="1">
      <c r="A24" s="87" t="s">
        <v>14</v>
      </c>
      <c r="B24" s="257">
        <v>14016</v>
      </c>
      <c r="C24" s="207">
        <v>100</v>
      </c>
      <c r="D24" s="209">
        <v>500</v>
      </c>
      <c r="E24" s="323">
        <f t="shared" si="0"/>
        <v>14616</v>
      </c>
      <c r="F24" s="184">
        <v>832.65</v>
      </c>
      <c r="G24" s="269">
        <v>628000</v>
      </c>
      <c r="H24" s="184">
        <v>624000</v>
      </c>
      <c r="I24" s="86">
        <v>1101000</v>
      </c>
      <c r="J24" s="217">
        <f t="shared" si="2"/>
        <v>1725000</v>
      </c>
      <c r="K24" s="184"/>
      <c r="L24" s="208">
        <v>3170000</v>
      </c>
      <c r="M24" s="208"/>
      <c r="N24" s="87">
        <f t="shared" si="1"/>
        <v>-659000</v>
      </c>
      <c r="O24" s="208"/>
      <c r="P24" s="208"/>
      <c r="Q24" s="208">
        <f t="shared" si="3"/>
        <v>2511000</v>
      </c>
      <c r="R24" s="244"/>
      <c r="S24" s="244"/>
      <c r="T24" s="245">
        <f t="shared" si="4"/>
        <v>4864000</v>
      </c>
      <c r="U24" s="95"/>
    </row>
    <row r="25" spans="1:21" s="55" customFormat="1" ht="13.2" customHeight="1">
      <c r="A25" s="87" t="s">
        <v>15</v>
      </c>
      <c r="B25" s="257">
        <v>26225</v>
      </c>
      <c r="C25" s="207"/>
      <c r="D25" s="209">
        <v>175</v>
      </c>
      <c r="E25" s="323">
        <f t="shared" si="0"/>
        <v>26400</v>
      </c>
      <c r="F25" s="184">
        <v>2072.77</v>
      </c>
      <c r="G25" s="269"/>
      <c r="H25" s="184">
        <v>-1779000</v>
      </c>
      <c r="I25" s="86">
        <v>1925000</v>
      </c>
      <c r="J25" s="217">
        <f t="shared" si="2"/>
        <v>146000</v>
      </c>
      <c r="K25" s="184"/>
      <c r="L25" s="208">
        <v>1099000</v>
      </c>
      <c r="M25" s="208"/>
      <c r="N25" s="87">
        <f t="shared" si="1"/>
        <v>-231000</v>
      </c>
      <c r="O25" s="208"/>
      <c r="P25" s="208"/>
      <c r="Q25" s="208">
        <f t="shared" si="3"/>
        <v>868000</v>
      </c>
      <c r="R25" s="244"/>
      <c r="S25" s="244"/>
      <c r="T25" s="245">
        <f t="shared" si="4"/>
        <v>1014000</v>
      </c>
      <c r="U25" s="95"/>
    </row>
    <row r="26" spans="1:21" s="55" customFormat="1" ht="13.2" customHeight="1">
      <c r="A26" s="87" t="s">
        <v>16</v>
      </c>
      <c r="B26" s="257">
        <v>23074</v>
      </c>
      <c r="C26" s="207"/>
      <c r="D26" s="209">
        <v>277</v>
      </c>
      <c r="E26" s="323">
        <f t="shared" si="0"/>
        <v>23351</v>
      </c>
      <c r="F26" s="184">
        <v>1534.83</v>
      </c>
      <c r="G26" s="269"/>
      <c r="H26" s="184">
        <v>-702000</v>
      </c>
      <c r="I26" s="86">
        <v>-128000</v>
      </c>
      <c r="J26" s="217">
        <f t="shared" si="2"/>
        <v>-830000</v>
      </c>
      <c r="K26" s="184"/>
      <c r="L26" s="208">
        <v>1749000</v>
      </c>
      <c r="M26" s="208"/>
      <c r="N26" s="87">
        <f t="shared" si="1"/>
        <v>-365000</v>
      </c>
      <c r="O26" s="208"/>
      <c r="P26" s="208"/>
      <c r="Q26" s="208">
        <f t="shared" si="3"/>
        <v>1384000</v>
      </c>
      <c r="R26" s="244"/>
      <c r="S26" s="244"/>
      <c r="T26" s="245">
        <f t="shared" si="4"/>
        <v>554000</v>
      </c>
      <c r="U26" s="95"/>
    </row>
    <row r="27" spans="1:21" s="55" customFormat="1" ht="13.2" customHeight="1">
      <c r="A27" s="87" t="s">
        <v>17</v>
      </c>
      <c r="B27" s="257">
        <v>21298</v>
      </c>
      <c r="C27" s="207"/>
      <c r="D27" s="209">
        <v>450</v>
      </c>
      <c r="E27" s="323">
        <f t="shared" si="0"/>
        <v>21748</v>
      </c>
      <c r="F27" s="184">
        <v>1394.85</v>
      </c>
      <c r="G27" s="269"/>
      <c r="H27" s="184">
        <v>-123000</v>
      </c>
      <c r="I27" s="86">
        <v>987000</v>
      </c>
      <c r="J27" s="217">
        <f t="shared" si="2"/>
        <v>864000</v>
      </c>
      <c r="K27" s="184"/>
      <c r="L27" s="208">
        <v>2946000</v>
      </c>
      <c r="M27" s="208"/>
      <c r="N27" s="87">
        <f t="shared" si="1"/>
        <v>-593000</v>
      </c>
      <c r="O27" s="208"/>
      <c r="P27" s="208"/>
      <c r="Q27" s="208">
        <f t="shared" si="3"/>
        <v>2353000</v>
      </c>
      <c r="R27" s="244"/>
      <c r="S27" s="244"/>
      <c r="T27" s="245">
        <f t="shared" si="4"/>
        <v>3217000</v>
      </c>
      <c r="U27" s="95"/>
    </row>
    <row r="28" spans="1:21" s="55" customFormat="1" ht="13.2" customHeight="1">
      <c r="A28" s="87" t="s">
        <v>18</v>
      </c>
      <c r="B28" s="257">
        <v>16192</v>
      </c>
      <c r="C28" s="207"/>
      <c r="D28" s="209">
        <v>325</v>
      </c>
      <c r="E28" s="323">
        <f t="shared" si="0"/>
        <v>16517</v>
      </c>
      <c r="F28" s="184">
        <v>1557.82</v>
      </c>
      <c r="G28" s="269"/>
      <c r="H28" s="184">
        <v>-272000</v>
      </c>
      <c r="I28" s="86">
        <v>1412000</v>
      </c>
      <c r="J28" s="217">
        <f t="shared" si="2"/>
        <v>1140000</v>
      </c>
      <c r="K28" s="184"/>
      <c r="L28" s="208">
        <v>1859000</v>
      </c>
      <c r="M28" s="208"/>
      <c r="N28" s="87">
        <f t="shared" si="1"/>
        <v>-428000</v>
      </c>
      <c r="O28" s="208"/>
      <c r="P28" s="208"/>
      <c r="Q28" s="208">
        <f t="shared" si="3"/>
        <v>1431000</v>
      </c>
      <c r="R28" s="244"/>
      <c r="S28" s="244"/>
      <c r="T28" s="245">
        <f t="shared" si="4"/>
        <v>2571000</v>
      </c>
      <c r="U28" s="95"/>
    </row>
    <row r="29" spans="1:21" s="55" customFormat="1" ht="13.2" customHeight="1">
      <c r="A29" s="87" t="s">
        <v>19</v>
      </c>
      <c r="B29" s="257">
        <v>7741</v>
      </c>
      <c r="C29" s="207"/>
      <c r="D29" s="209">
        <v>650</v>
      </c>
      <c r="E29" s="323">
        <f t="shared" si="0"/>
        <v>8391</v>
      </c>
      <c r="F29" s="184">
        <v>167.56</v>
      </c>
      <c r="G29" s="269"/>
      <c r="H29" s="184">
        <v>-1736000</v>
      </c>
      <c r="I29" s="86">
        <v>225000</v>
      </c>
      <c r="J29" s="217">
        <f t="shared" si="2"/>
        <v>-1511000</v>
      </c>
      <c r="K29" s="184"/>
      <c r="L29" s="208">
        <v>4288000</v>
      </c>
      <c r="M29" s="208"/>
      <c r="N29" s="87">
        <f t="shared" si="1"/>
        <v>-857000</v>
      </c>
      <c r="O29" s="208"/>
      <c r="P29" s="208"/>
      <c r="Q29" s="208">
        <f t="shared" si="3"/>
        <v>3431000</v>
      </c>
      <c r="R29" s="244"/>
      <c r="S29" s="244"/>
      <c r="T29" s="245">
        <f t="shared" si="4"/>
        <v>1920000</v>
      </c>
      <c r="U29" s="95"/>
    </row>
    <row r="30" spans="1:21" s="55" customFormat="1" ht="13.2" customHeight="1">
      <c r="A30" s="87" t="s">
        <v>20</v>
      </c>
      <c r="B30" s="257">
        <v>7540</v>
      </c>
      <c r="C30" s="207"/>
      <c r="D30" s="209">
        <v>270</v>
      </c>
      <c r="E30" s="323">
        <f t="shared" si="0"/>
        <v>7810</v>
      </c>
      <c r="F30" s="184">
        <v>76.930000000000007</v>
      </c>
      <c r="G30" s="269"/>
      <c r="H30" s="184">
        <v>379000</v>
      </c>
      <c r="I30" s="86">
        <v>92000</v>
      </c>
      <c r="J30" s="217">
        <f t="shared" si="2"/>
        <v>471000</v>
      </c>
      <c r="K30" s="184"/>
      <c r="L30" s="208">
        <v>1614000</v>
      </c>
      <c r="M30" s="208"/>
      <c r="N30" s="87">
        <f t="shared" si="1"/>
        <v>-356000</v>
      </c>
      <c r="O30" s="208"/>
      <c r="P30" s="208"/>
      <c r="Q30" s="208">
        <f t="shared" si="3"/>
        <v>1258000</v>
      </c>
      <c r="R30" s="244"/>
      <c r="S30" s="244"/>
      <c r="T30" s="245">
        <f t="shared" si="4"/>
        <v>1729000</v>
      </c>
      <c r="U30" s="95"/>
    </row>
    <row r="31" spans="1:21" s="55" customFormat="1" ht="13.2" customHeight="1">
      <c r="A31" s="87" t="s">
        <v>21</v>
      </c>
      <c r="B31" s="257">
        <v>6877</v>
      </c>
      <c r="C31" s="207"/>
      <c r="D31" s="209">
        <v>200</v>
      </c>
      <c r="E31" s="323">
        <f t="shared" si="0"/>
        <v>7077</v>
      </c>
      <c r="F31" s="184">
        <v>79.59</v>
      </c>
      <c r="G31" s="269"/>
      <c r="H31" s="184">
        <v>7000</v>
      </c>
      <c r="I31" s="86">
        <v>-317000</v>
      </c>
      <c r="J31" s="217">
        <f t="shared" si="2"/>
        <v>-310000</v>
      </c>
      <c r="K31" s="184"/>
      <c r="L31" s="208">
        <v>1287000</v>
      </c>
      <c r="M31" s="208"/>
      <c r="N31" s="87">
        <f t="shared" si="1"/>
        <v>-264000</v>
      </c>
      <c r="O31" s="208"/>
      <c r="P31" s="208"/>
      <c r="Q31" s="208">
        <f t="shared" si="3"/>
        <v>1023000</v>
      </c>
      <c r="R31" s="244"/>
      <c r="S31" s="244"/>
      <c r="T31" s="245">
        <f t="shared" si="4"/>
        <v>713000</v>
      </c>
      <c r="U31" s="95"/>
    </row>
    <row r="32" spans="1:21" s="55" customFormat="1" ht="6" customHeight="1">
      <c r="A32" s="87"/>
      <c r="B32" s="243"/>
      <c r="C32" s="208"/>
      <c r="D32" s="86"/>
      <c r="F32" s="184"/>
      <c r="G32" s="269"/>
      <c r="H32" s="216"/>
      <c r="I32" s="204"/>
      <c r="J32" s="218"/>
      <c r="K32" s="193"/>
      <c r="L32" s="208"/>
      <c r="M32" s="208"/>
      <c r="N32" s="243"/>
      <c r="O32" s="208"/>
      <c r="P32" s="208"/>
      <c r="Q32" s="246"/>
      <c r="R32" s="246"/>
      <c r="S32" s="246"/>
      <c r="T32" s="247"/>
      <c r="U32" s="95"/>
    </row>
    <row r="33" spans="1:21" s="55" customFormat="1" ht="13.2">
      <c r="A33" s="114" t="s">
        <v>22</v>
      </c>
      <c r="B33" s="258">
        <f>SUM(B9:B31)</f>
        <v>335221</v>
      </c>
      <c r="C33" s="210">
        <f>SUM(C9:C32)</f>
        <v>1201</v>
      </c>
      <c r="D33" s="111">
        <f>SUM(D9:D31)</f>
        <v>8339</v>
      </c>
      <c r="E33" s="210">
        <f>SUM(E9:E32)</f>
        <v>344761</v>
      </c>
      <c r="F33" s="263">
        <f t="shared" ref="F33:L33" si="5">SUM(F9:F31)</f>
        <v>15556.21</v>
      </c>
      <c r="G33" s="270">
        <f>SUM(G9:G32)</f>
        <v>7256000</v>
      </c>
      <c r="H33" s="233">
        <f>SUM(H9:H32)</f>
        <v>3106000</v>
      </c>
      <c r="I33" s="234">
        <f>SUM(I9:I32)</f>
        <v>8001000</v>
      </c>
      <c r="J33" s="219">
        <f t="shared" ref="J33" si="6">SUM(J9:J31)</f>
        <v>11107000</v>
      </c>
      <c r="K33" s="194"/>
      <c r="L33" s="234">
        <f t="shared" si="5"/>
        <v>52622000</v>
      </c>
      <c r="M33" s="234"/>
      <c r="N33" s="248">
        <f>SUM(N9:N31)</f>
        <v>-10991000</v>
      </c>
      <c r="O33" s="234"/>
      <c r="P33" s="234"/>
      <c r="Q33" s="234">
        <f>SUM(Q9:Q31)</f>
        <v>41631000</v>
      </c>
      <c r="R33" s="234"/>
      <c r="S33" s="234"/>
      <c r="T33" s="249">
        <f t="shared" ref="T33" si="7">SUM(T9:T31)</f>
        <v>59994000</v>
      </c>
      <c r="U33" s="95"/>
    </row>
    <row r="34" spans="1:21" s="55" customFormat="1" ht="6" customHeight="1">
      <c r="A34" s="115"/>
      <c r="B34" s="243"/>
      <c r="C34" s="208"/>
      <c r="D34" s="86"/>
      <c r="F34" s="184"/>
      <c r="G34" s="269"/>
      <c r="H34" s="214"/>
      <c r="I34" s="203"/>
      <c r="J34" s="218"/>
      <c r="K34" s="193"/>
      <c r="L34" s="239"/>
      <c r="M34" s="239"/>
      <c r="N34" s="240"/>
      <c r="O34" s="239"/>
      <c r="P34" s="239"/>
      <c r="Q34" s="246"/>
      <c r="R34" s="246"/>
      <c r="S34" s="246"/>
      <c r="T34" s="247"/>
      <c r="U34" s="95"/>
    </row>
    <row r="35" spans="1:21" s="55" customFormat="1" ht="13.2" customHeight="1">
      <c r="A35" s="97" t="s">
        <v>23</v>
      </c>
      <c r="B35" s="243">
        <v>0</v>
      </c>
      <c r="C35" s="208"/>
      <c r="D35" s="260">
        <f>E35-B35</f>
        <v>0</v>
      </c>
      <c r="E35" s="211">
        <f>B35</f>
        <v>0</v>
      </c>
      <c r="F35" s="184">
        <v>0</v>
      </c>
      <c r="G35" s="269"/>
      <c r="H35" s="184">
        <v>0</v>
      </c>
      <c r="I35" s="86">
        <v>0</v>
      </c>
      <c r="J35" s="217">
        <f t="shared" ref="J35:J39" si="8">H35+I35</f>
        <v>0</v>
      </c>
      <c r="K35" s="184"/>
      <c r="L35" s="86">
        <v>0</v>
      </c>
      <c r="M35" s="208"/>
      <c r="N35" s="87">
        <f>ROUND(D35*-1318/1000,0)*1000</f>
        <v>0</v>
      </c>
      <c r="O35" s="208"/>
      <c r="P35" s="208"/>
      <c r="Q35" s="208">
        <f t="shared" ref="Q35:Q39" si="9">L35+N35</f>
        <v>0</v>
      </c>
      <c r="R35" s="244"/>
      <c r="S35" s="244"/>
      <c r="T35" s="245">
        <f t="shared" ref="T35:T39" si="10">G35+J35+Q35</f>
        <v>0</v>
      </c>
      <c r="U35" s="95"/>
    </row>
    <row r="36" spans="1:21" s="55" customFormat="1" ht="13.2" customHeight="1">
      <c r="A36" s="87" t="s">
        <v>29</v>
      </c>
      <c r="B36" s="243">
        <v>606</v>
      </c>
      <c r="C36" s="208"/>
      <c r="D36" s="260">
        <v>0</v>
      </c>
      <c r="E36" s="86">
        <v>606</v>
      </c>
      <c r="F36" s="184">
        <v>0</v>
      </c>
      <c r="G36" s="269"/>
      <c r="H36" s="184">
        <v>9000</v>
      </c>
      <c r="I36" s="86">
        <v>0</v>
      </c>
      <c r="J36" s="217">
        <f t="shared" si="8"/>
        <v>9000</v>
      </c>
      <c r="K36" s="184"/>
      <c r="L36" s="86">
        <v>0</v>
      </c>
      <c r="M36" s="208"/>
      <c r="N36" s="87">
        <f>ROUND(D36*-1318/1000,0)*1000</f>
        <v>0</v>
      </c>
      <c r="O36" s="208"/>
      <c r="P36" s="208"/>
      <c r="Q36" s="208">
        <f t="shared" si="9"/>
        <v>0</v>
      </c>
      <c r="R36" s="244"/>
      <c r="S36" s="244"/>
      <c r="T36" s="245">
        <f t="shared" si="10"/>
        <v>9000</v>
      </c>
      <c r="U36" s="95"/>
    </row>
    <row r="37" spans="1:21" s="55" customFormat="1" ht="13.2" customHeight="1">
      <c r="A37" s="87" t="s">
        <v>24</v>
      </c>
      <c r="B37" s="243">
        <v>632</v>
      </c>
      <c r="C37" s="208"/>
      <c r="D37" s="260">
        <v>0</v>
      </c>
      <c r="E37" s="86">
        <v>632</v>
      </c>
      <c r="F37" s="184">
        <v>9</v>
      </c>
      <c r="G37" s="269"/>
      <c r="H37" s="184">
        <v>147000</v>
      </c>
      <c r="I37" s="86">
        <v>20000</v>
      </c>
      <c r="J37" s="217">
        <f t="shared" si="8"/>
        <v>167000</v>
      </c>
      <c r="K37" s="184"/>
      <c r="L37" s="86">
        <v>0</v>
      </c>
      <c r="M37" s="208"/>
      <c r="N37" s="87">
        <f>ROUND(D37*-1318/1000,0)*1000</f>
        <v>0</v>
      </c>
      <c r="O37" s="208"/>
      <c r="P37" s="208"/>
      <c r="Q37" s="208">
        <f t="shared" si="9"/>
        <v>0</v>
      </c>
      <c r="R37" s="244"/>
      <c r="S37" s="244"/>
      <c r="T37" s="245">
        <f t="shared" si="10"/>
        <v>167000</v>
      </c>
      <c r="U37" s="95"/>
    </row>
    <row r="38" spans="1:21" s="55" customFormat="1" ht="13.2" customHeight="1">
      <c r="A38" s="87" t="s">
        <v>25</v>
      </c>
      <c r="B38" s="243">
        <v>51</v>
      </c>
      <c r="C38" s="208"/>
      <c r="D38" s="260">
        <v>0</v>
      </c>
      <c r="E38" s="86">
        <v>51</v>
      </c>
      <c r="F38" s="184">
        <v>2.4</v>
      </c>
      <c r="G38" s="269"/>
      <c r="H38" s="184">
        <v>-39000</v>
      </c>
      <c r="I38" s="86">
        <v>8000</v>
      </c>
      <c r="J38" s="217">
        <f t="shared" si="8"/>
        <v>-31000</v>
      </c>
      <c r="K38" s="184"/>
      <c r="L38" s="86">
        <v>0</v>
      </c>
      <c r="M38" s="208"/>
      <c r="N38" s="87">
        <f>ROUND(D38*-1318/1000,0)*1000</f>
        <v>0</v>
      </c>
      <c r="O38" s="208"/>
      <c r="P38" s="208"/>
      <c r="Q38" s="208">
        <f t="shared" si="9"/>
        <v>0</v>
      </c>
      <c r="R38" s="244"/>
      <c r="S38" s="244"/>
      <c r="T38" s="245">
        <f>G38+J38+Q38</f>
        <v>-31000</v>
      </c>
      <c r="U38" s="95"/>
    </row>
    <row r="39" spans="1:21" s="55" customFormat="1" ht="13.2" customHeight="1">
      <c r="A39" s="116" t="s">
        <v>26</v>
      </c>
      <c r="B39" s="243">
        <v>0</v>
      </c>
      <c r="C39" s="208"/>
      <c r="D39" s="260">
        <f>E39-B39</f>
        <v>0</v>
      </c>
      <c r="E39" s="211">
        <f>B39</f>
        <v>0</v>
      </c>
      <c r="F39" s="184">
        <v>0</v>
      </c>
      <c r="G39" s="269"/>
      <c r="H39" s="184">
        <v>0</v>
      </c>
      <c r="I39" s="86">
        <v>0</v>
      </c>
      <c r="J39" s="217">
        <f t="shared" si="8"/>
        <v>0</v>
      </c>
      <c r="K39" s="184"/>
      <c r="L39" s="86">
        <v>0</v>
      </c>
      <c r="M39" s="208"/>
      <c r="N39" s="87">
        <f>ROUND(D39*-1318/1000,0)*1000</f>
        <v>0</v>
      </c>
      <c r="O39" s="208"/>
      <c r="P39" s="208"/>
      <c r="Q39" s="208">
        <f t="shared" si="9"/>
        <v>0</v>
      </c>
      <c r="R39" s="244"/>
      <c r="S39" s="244"/>
      <c r="T39" s="245">
        <f t="shared" si="10"/>
        <v>0</v>
      </c>
      <c r="U39" s="95"/>
    </row>
    <row r="40" spans="1:21" s="55" customFormat="1" ht="6" customHeight="1">
      <c r="A40" s="116"/>
      <c r="B40" s="243"/>
      <c r="C40" s="208"/>
      <c r="D40" s="86"/>
      <c r="F40" s="184"/>
      <c r="G40" s="269"/>
      <c r="H40" s="235"/>
      <c r="I40" s="208"/>
      <c r="J40" s="217"/>
      <c r="K40" s="184"/>
      <c r="L40" s="208"/>
      <c r="M40" s="208"/>
      <c r="N40" s="243"/>
      <c r="O40" s="208"/>
      <c r="P40" s="208"/>
      <c r="Q40" s="246"/>
      <c r="R40" s="246"/>
      <c r="S40" s="246"/>
      <c r="T40" s="245"/>
      <c r="U40" s="95"/>
    </row>
    <row r="41" spans="1:21" s="55" customFormat="1" ht="6" customHeight="1">
      <c r="A41" s="116"/>
      <c r="B41" s="243"/>
      <c r="C41" s="208"/>
      <c r="D41" s="86"/>
      <c r="F41" s="184"/>
      <c r="G41" s="269"/>
      <c r="H41" s="235"/>
      <c r="I41" s="208"/>
      <c r="J41" s="217"/>
      <c r="K41" s="195"/>
      <c r="L41" s="250"/>
      <c r="M41" s="250"/>
      <c r="N41" s="251"/>
      <c r="O41" s="250"/>
      <c r="P41" s="250"/>
      <c r="Q41" s="252"/>
      <c r="R41" s="252"/>
      <c r="S41" s="252"/>
      <c r="T41" s="253"/>
      <c r="U41" s="95"/>
    </row>
    <row r="42" spans="1:21" s="55" customFormat="1" ht="16.2" customHeight="1" thickBot="1">
      <c r="A42" s="98" t="s">
        <v>32</v>
      </c>
      <c r="B42" s="259">
        <f t="shared" ref="B42:J42" si="11">SUM(B33:B39)</f>
        <v>336510</v>
      </c>
      <c r="C42" s="212">
        <f t="shared" si="11"/>
        <v>1201</v>
      </c>
      <c r="D42" s="112">
        <f t="shared" si="11"/>
        <v>8339</v>
      </c>
      <c r="E42" s="212">
        <f t="shared" si="11"/>
        <v>346050</v>
      </c>
      <c r="F42" s="264">
        <f t="shared" si="11"/>
        <v>15567.609999999999</v>
      </c>
      <c r="G42" s="271">
        <f t="shared" si="11"/>
        <v>7256000</v>
      </c>
      <c r="H42" s="236">
        <f t="shared" si="11"/>
        <v>3223000</v>
      </c>
      <c r="I42" s="237">
        <f t="shared" si="11"/>
        <v>8029000</v>
      </c>
      <c r="J42" s="220">
        <f t="shared" si="11"/>
        <v>11252000</v>
      </c>
      <c r="K42" s="196"/>
      <c r="L42" s="237">
        <f t="shared" ref="L42" si="12">SUM(L33:L39)</f>
        <v>52622000</v>
      </c>
      <c r="M42" s="237"/>
      <c r="N42" s="254">
        <f>SUM(N33:N39)</f>
        <v>-10991000</v>
      </c>
      <c r="O42" s="255"/>
      <c r="P42" s="255"/>
      <c r="Q42" s="237">
        <f>SUM(Q33:Q39)</f>
        <v>41631000</v>
      </c>
      <c r="R42" s="255"/>
      <c r="S42" s="255"/>
      <c r="T42" s="256">
        <f>SUM(T33:T39)</f>
        <v>60139000</v>
      </c>
      <c r="U42" s="95"/>
    </row>
    <row r="43" spans="1:21" ht="6" customHeight="1">
      <c r="H43" s="238"/>
      <c r="I43" s="238"/>
    </row>
    <row r="44" spans="1:21" ht="15.6">
      <c r="A44" s="54" t="s">
        <v>130</v>
      </c>
      <c r="B44" s="54"/>
      <c r="C44" s="54"/>
      <c r="H44" s="54"/>
      <c r="I44" s="54"/>
      <c r="J44" s="55"/>
      <c r="K44" s="55"/>
      <c r="L44" s="186"/>
      <c r="M44" s="186"/>
      <c r="N44" s="186"/>
      <c r="O44" s="55"/>
      <c r="P44" s="55"/>
      <c r="T44" s="53"/>
    </row>
    <row r="45" spans="1:21" s="56" customFormat="1" ht="15.6">
      <c r="A45" s="54" t="s">
        <v>137</v>
      </c>
      <c r="B45" s="54"/>
      <c r="C45" s="54"/>
      <c r="H45" s="54"/>
      <c r="I45" s="54"/>
      <c r="J45" s="57"/>
      <c r="K45" s="57"/>
      <c r="L45" s="57"/>
      <c r="M45" s="57"/>
      <c r="N45" s="57"/>
      <c r="O45" s="57"/>
      <c r="P45" s="57"/>
    </row>
    <row r="46" spans="1:21" s="56" customFormat="1" ht="16.5" customHeight="1">
      <c r="J46" s="58"/>
      <c r="K46" s="58"/>
      <c r="L46" s="58"/>
      <c r="M46" s="58"/>
      <c r="N46" s="58"/>
      <c r="O46" s="58"/>
      <c r="P46" s="58"/>
    </row>
    <row r="47" spans="1:21" s="56" customFormat="1" ht="16.5" customHeight="1">
      <c r="J47" s="57"/>
      <c r="K47" s="57"/>
      <c r="L47" s="57"/>
      <c r="M47" s="57"/>
      <c r="N47" s="57"/>
      <c r="O47" s="57"/>
      <c r="P47" s="57"/>
    </row>
    <row r="48" spans="1:21" s="59" customFormat="1" ht="18.75" customHeight="1"/>
    <row r="49" spans="2:19" s="59" customFormat="1" ht="18.75" customHeight="1">
      <c r="B49" s="60"/>
      <c r="C49" s="60"/>
      <c r="D49" s="60"/>
      <c r="E49" s="60"/>
      <c r="F49" s="60"/>
      <c r="G49" s="60"/>
      <c r="H49" s="60"/>
      <c r="I49" s="60"/>
      <c r="J49" s="60"/>
      <c r="K49" s="60"/>
      <c r="L49" s="60"/>
      <c r="M49" s="60"/>
      <c r="N49" s="60"/>
      <c r="O49" s="60"/>
      <c r="P49" s="60"/>
      <c r="Q49" s="60"/>
      <c r="R49" s="60"/>
      <c r="S49" s="60"/>
    </row>
    <row r="51" spans="2:19">
      <c r="B51" s="53"/>
      <c r="C51" s="53"/>
      <c r="D51" s="53"/>
      <c r="E51" s="53"/>
      <c r="F51" s="53"/>
      <c r="G51" s="53"/>
      <c r="H51" s="53"/>
      <c r="I51" s="53"/>
      <c r="J51" s="53"/>
      <c r="K51" s="53"/>
      <c r="L51" s="53"/>
      <c r="M51" s="53"/>
      <c r="N51" s="53"/>
      <c r="O51" s="53"/>
      <c r="P51" s="53"/>
    </row>
  </sheetData>
  <mergeCells count="8">
    <mergeCell ref="B4:F4"/>
    <mergeCell ref="N6:N7"/>
    <mergeCell ref="B6:E6"/>
    <mergeCell ref="H5:J5"/>
    <mergeCell ref="N4:T4"/>
    <mergeCell ref="K5:M5"/>
    <mergeCell ref="P5:R5"/>
    <mergeCell ref="G4:L4"/>
  </mergeCells>
  <printOptions horizontalCentered="1"/>
  <pageMargins left="0.25" right="0.25" top="0.5" bottom="0.25" header="0.5" footer="0.5"/>
  <pageSetup paperSize="5" scale="8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
  <sheetViews>
    <sheetView workbookViewId="0">
      <pane xSplit="2" ySplit="7" topLeftCell="C8" activePane="bottomRight" state="frozen"/>
      <selection activeCell="P9" sqref="P9"/>
      <selection pane="topRight" activeCell="P9" sqref="P9"/>
      <selection pane="bottomLeft" activeCell="P9" sqref="P9"/>
      <selection pane="bottomRight" activeCell="B3" sqref="B3"/>
    </sheetView>
  </sheetViews>
  <sheetFormatPr defaultColWidth="10" defaultRowHeight="13.2"/>
  <cols>
    <col min="1" max="1" width="1.44140625" style="4" customWidth="1"/>
    <col min="2" max="2" width="21.77734375" style="3" customWidth="1"/>
    <col min="3" max="3" width="14.77734375" style="3" customWidth="1"/>
    <col min="4" max="4" width="10.77734375" style="3" customWidth="1"/>
    <col min="5" max="5" width="14.77734375" style="3" customWidth="1"/>
    <col min="6" max="6" width="10.77734375" style="4" customWidth="1"/>
    <col min="7" max="7" width="14.77734375" style="3" customWidth="1"/>
    <col min="8" max="8" width="10.77734375" style="3" customWidth="1"/>
    <col min="9" max="9" width="14.77734375" style="3" customWidth="1"/>
    <col min="10" max="10" width="10.77734375" style="3" customWidth="1"/>
    <col min="11" max="11" width="3.77734375" style="3" customWidth="1"/>
    <col min="12" max="12" width="12.77734375" style="3" customWidth="1"/>
    <col min="13" max="13" width="3.88671875" style="3" customWidth="1"/>
    <col min="14" max="14" width="2.33203125" style="3" customWidth="1"/>
    <col min="15" max="15" width="15.109375" style="3" customWidth="1"/>
    <col min="16" max="16" width="13.33203125" style="3" customWidth="1"/>
    <col min="17" max="17" width="11.21875" style="3" bestFit="1" customWidth="1"/>
    <col min="18" max="16384" width="10" style="3"/>
  </cols>
  <sheetData>
    <row r="1" spans="1:18" ht="18.75" customHeight="1">
      <c r="A1" s="2" t="s">
        <v>168</v>
      </c>
      <c r="G1" s="103"/>
      <c r="H1" s="103"/>
      <c r="I1" s="104"/>
      <c r="J1" s="105"/>
      <c r="K1" s="103"/>
      <c r="L1" s="103"/>
    </row>
    <row r="2" spans="1:18" ht="15.75" customHeight="1">
      <c r="B2" s="104"/>
      <c r="C2" s="104"/>
      <c r="D2" s="202"/>
      <c r="G2" s="200"/>
      <c r="H2" s="201"/>
      <c r="J2" s="200"/>
      <c r="K2" s="200"/>
      <c r="L2" s="199"/>
    </row>
    <row r="3" spans="1:18" ht="14.25" customHeight="1">
      <c r="C3" s="5">
        <v>-1</v>
      </c>
      <c r="D3" s="5"/>
      <c r="E3" s="5"/>
      <c r="F3" s="5"/>
      <c r="G3" s="5"/>
      <c r="H3" s="5"/>
      <c r="I3" s="5">
        <v>-2</v>
      </c>
      <c r="L3" s="5">
        <v>-3</v>
      </c>
    </row>
    <row r="4" spans="1:18" ht="13.8">
      <c r="A4" s="6"/>
      <c r="B4" s="7"/>
      <c r="C4" s="93"/>
      <c r="D4" s="94"/>
      <c r="E4" s="460" t="s">
        <v>86</v>
      </c>
      <c r="F4" s="461"/>
      <c r="G4" s="461"/>
      <c r="H4" s="461"/>
      <c r="I4" s="461"/>
      <c r="J4" s="461"/>
      <c r="K4" s="461"/>
      <c r="L4" s="461"/>
      <c r="M4" s="462"/>
      <c r="N4" s="29"/>
    </row>
    <row r="5" spans="1:18" s="9" customFormat="1" ht="74.400000000000006" customHeight="1" thickBot="1">
      <c r="A5" s="197"/>
      <c r="B5" s="8" t="s">
        <v>30</v>
      </c>
      <c r="C5" s="463" t="s">
        <v>85</v>
      </c>
      <c r="D5" s="464"/>
      <c r="E5" s="465" t="s">
        <v>111</v>
      </c>
      <c r="F5" s="466"/>
      <c r="G5" s="467" t="s">
        <v>84</v>
      </c>
      <c r="H5" s="468"/>
      <c r="I5" s="467" t="s">
        <v>126</v>
      </c>
      <c r="J5" s="468"/>
      <c r="K5" s="469" t="s">
        <v>112</v>
      </c>
      <c r="L5" s="470"/>
      <c r="M5" s="471"/>
      <c r="N5" s="10"/>
      <c r="P5" s="27"/>
      <c r="Q5" s="4"/>
      <c r="R5" s="4"/>
    </row>
    <row r="6" spans="1:18" s="40" customFormat="1" ht="14.4">
      <c r="A6" s="32"/>
      <c r="B6" s="33"/>
      <c r="C6" s="34" t="s">
        <v>33</v>
      </c>
      <c r="D6" s="35" t="s">
        <v>34</v>
      </c>
      <c r="E6" s="36" t="s">
        <v>33</v>
      </c>
      <c r="F6" s="37" t="s">
        <v>34</v>
      </c>
      <c r="G6" s="36" t="s">
        <v>33</v>
      </c>
      <c r="H6" s="35" t="s">
        <v>34</v>
      </c>
      <c r="I6" s="36" t="s">
        <v>33</v>
      </c>
      <c r="J6" s="37" t="s">
        <v>34</v>
      </c>
      <c r="K6" s="36"/>
      <c r="L6" s="38" t="s">
        <v>54</v>
      </c>
      <c r="M6" s="39"/>
      <c r="N6" s="33"/>
      <c r="P6" s="33"/>
    </row>
    <row r="7" spans="1:18" ht="9" customHeight="1">
      <c r="A7" s="13"/>
      <c r="B7" s="11"/>
      <c r="C7" s="16"/>
      <c r="D7" s="11"/>
      <c r="E7" s="16"/>
      <c r="F7" s="14"/>
      <c r="G7" s="16"/>
      <c r="H7" s="12"/>
      <c r="I7" s="43"/>
      <c r="J7" s="14"/>
      <c r="K7" s="13"/>
      <c r="L7" s="28"/>
      <c r="M7" s="15"/>
      <c r="N7" s="11"/>
      <c r="P7" s="11"/>
    </row>
    <row r="8" spans="1:18" ht="13.2" customHeight="1">
      <c r="A8" s="17"/>
      <c r="B8" s="3" t="s">
        <v>35</v>
      </c>
      <c r="C8" s="295">
        <v>16354500</v>
      </c>
      <c r="D8" s="296">
        <f t="shared" ref="D8:D30" si="0">C8/$C$32</f>
        <v>2.5822712618763635E-2</v>
      </c>
      <c r="E8" s="297">
        <v>24474674</v>
      </c>
      <c r="F8" s="296">
        <f t="shared" ref="F8:F30" si="1">E8/$E$32</f>
        <v>2.5403981466311933E-2</v>
      </c>
      <c r="G8" s="298">
        <v>25271980</v>
      </c>
      <c r="H8" s="299">
        <f t="shared" ref="H8:H30" si="2">G8/$G$32</f>
        <v>2.5751885913935714E-2</v>
      </c>
      <c r="I8" s="295">
        <f t="shared" ref="I8:I15" si="3">ROUND((644161800)*J8/100,0)*100</f>
        <v>16588400</v>
      </c>
      <c r="J8" s="296">
        <f t="shared" ref="J8:J30" si="4">H8</f>
        <v>2.5751885913935714E-2</v>
      </c>
      <c r="K8" s="300"/>
      <c r="L8" s="301">
        <f t="shared" ref="L8:L30" si="5">I8-C8</f>
        <v>233900</v>
      </c>
      <c r="M8" s="15"/>
      <c r="N8" s="11"/>
      <c r="P8" s="19"/>
      <c r="Q8" s="23"/>
      <c r="R8" s="102"/>
    </row>
    <row r="9" spans="1:18" ht="13.2" customHeight="1">
      <c r="A9" s="17"/>
      <c r="B9" s="3" t="s">
        <v>1</v>
      </c>
      <c r="C9" s="302">
        <v>6235500</v>
      </c>
      <c r="D9" s="296">
        <f t="shared" si="0"/>
        <v>9.8454568794093776E-3</v>
      </c>
      <c r="E9" s="303">
        <v>10254174</v>
      </c>
      <c r="F9" s="296">
        <f t="shared" si="1"/>
        <v>1.0643526702269361E-2</v>
      </c>
      <c r="G9" s="304">
        <v>13143038</v>
      </c>
      <c r="H9" s="299">
        <f t="shared" si="2"/>
        <v>1.3392619618190653E-2</v>
      </c>
      <c r="I9" s="302">
        <f t="shared" si="3"/>
        <v>8627000</v>
      </c>
      <c r="J9" s="296">
        <f t="shared" si="4"/>
        <v>1.3392619618190653E-2</v>
      </c>
      <c r="K9" s="300"/>
      <c r="L9" s="305">
        <f t="shared" si="5"/>
        <v>2391500</v>
      </c>
      <c r="M9" s="15"/>
      <c r="N9" s="18"/>
      <c r="P9" s="18"/>
      <c r="Q9" s="23"/>
      <c r="R9" s="102"/>
    </row>
    <row r="10" spans="1:18" ht="13.2" customHeight="1">
      <c r="A10" s="17"/>
      <c r="B10" s="3" t="s">
        <v>36</v>
      </c>
      <c r="C10" s="302">
        <v>22063600</v>
      </c>
      <c r="D10" s="296">
        <f t="shared" si="0"/>
        <v>3.4837017465245243E-2</v>
      </c>
      <c r="E10" s="303">
        <v>32211452</v>
      </c>
      <c r="F10" s="296">
        <f t="shared" si="1"/>
        <v>3.3434526221309276E-2</v>
      </c>
      <c r="G10" s="304">
        <v>33370245</v>
      </c>
      <c r="H10" s="299">
        <f t="shared" si="2"/>
        <v>3.4003934086687455E-2</v>
      </c>
      <c r="I10" s="302">
        <f t="shared" si="3"/>
        <v>21904000</v>
      </c>
      <c r="J10" s="296">
        <f t="shared" si="4"/>
        <v>3.4003934086687455E-2</v>
      </c>
      <c r="K10" s="300"/>
      <c r="L10" s="305">
        <f t="shared" si="5"/>
        <v>-159600</v>
      </c>
      <c r="M10" s="15"/>
      <c r="N10" s="18"/>
      <c r="P10" s="18"/>
      <c r="Q10" s="23"/>
      <c r="R10" s="102"/>
    </row>
    <row r="11" spans="1:18" ht="13.2" customHeight="1">
      <c r="A11" s="17"/>
      <c r="B11" s="3" t="s">
        <v>37</v>
      </c>
      <c r="C11" s="302">
        <v>28681400</v>
      </c>
      <c r="D11" s="296">
        <f t="shared" si="0"/>
        <v>4.5286101666440877E-2</v>
      </c>
      <c r="E11" s="303">
        <v>41571097</v>
      </c>
      <c r="F11" s="296">
        <f t="shared" si="1"/>
        <v>4.3149558507796899E-2</v>
      </c>
      <c r="G11" s="304">
        <v>42988672</v>
      </c>
      <c r="H11" s="299">
        <f t="shared" si="2"/>
        <v>4.380501159527677E-2</v>
      </c>
      <c r="I11" s="302">
        <f t="shared" si="3"/>
        <v>28217500</v>
      </c>
      <c r="J11" s="296">
        <f t="shared" si="4"/>
        <v>4.380501159527677E-2</v>
      </c>
      <c r="K11" s="300"/>
      <c r="L11" s="305">
        <f t="shared" si="5"/>
        <v>-463900</v>
      </c>
      <c r="M11" s="15"/>
      <c r="N11" s="18"/>
      <c r="P11" s="18"/>
      <c r="Q11" s="23"/>
      <c r="R11" s="102"/>
    </row>
    <row r="12" spans="1:18" ht="13.2" customHeight="1">
      <c r="A12" s="17"/>
      <c r="B12" s="3" t="s">
        <v>28</v>
      </c>
      <c r="C12" s="302">
        <v>21870900</v>
      </c>
      <c r="D12" s="296">
        <f t="shared" si="0"/>
        <v>3.4532756453191329E-2</v>
      </c>
      <c r="E12" s="303">
        <v>35685077</v>
      </c>
      <c r="F12" s="296">
        <f t="shared" si="1"/>
        <v>3.7040045343685241E-2</v>
      </c>
      <c r="G12" s="304">
        <v>33738517</v>
      </c>
      <c r="H12" s="299">
        <f t="shared" si="2"/>
        <v>3.4379199441016521E-2</v>
      </c>
      <c r="I12" s="302">
        <f t="shared" si="3"/>
        <v>22145800</v>
      </c>
      <c r="J12" s="296">
        <f t="shared" si="4"/>
        <v>3.4379199441016521E-2</v>
      </c>
      <c r="K12" s="300"/>
      <c r="L12" s="305">
        <f t="shared" si="5"/>
        <v>274900</v>
      </c>
      <c r="M12" s="15"/>
      <c r="N12" s="18"/>
      <c r="P12" s="18"/>
      <c r="Q12" s="23"/>
      <c r="R12" s="102"/>
    </row>
    <row r="13" spans="1:18" ht="13.2" customHeight="1">
      <c r="A13" s="17"/>
      <c r="B13" s="3" t="s">
        <v>38</v>
      </c>
      <c r="C13" s="302">
        <v>36112400</v>
      </c>
      <c r="D13" s="296">
        <f t="shared" si="0"/>
        <v>5.701917681212143E-2</v>
      </c>
      <c r="E13" s="303">
        <v>54570157</v>
      </c>
      <c r="F13" s="296">
        <f t="shared" si="1"/>
        <v>5.6642194990696601E-2</v>
      </c>
      <c r="G13" s="304">
        <v>56361306</v>
      </c>
      <c r="H13" s="299">
        <f t="shared" si="2"/>
        <v>5.7431587159867195E-2</v>
      </c>
      <c r="I13" s="302">
        <f t="shared" si="3"/>
        <v>36995200</v>
      </c>
      <c r="J13" s="296">
        <f t="shared" si="4"/>
        <v>5.7431587159867195E-2</v>
      </c>
      <c r="K13" s="300"/>
      <c r="L13" s="305">
        <f t="shared" si="5"/>
        <v>882800</v>
      </c>
      <c r="M13" s="15"/>
      <c r="N13" s="18"/>
      <c r="P13" s="18"/>
      <c r="Q13" s="23"/>
      <c r="R13" s="102"/>
    </row>
    <row r="14" spans="1:18" ht="13.2" customHeight="1">
      <c r="A14" s="17"/>
      <c r="B14" s="3" t="s">
        <v>39</v>
      </c>
      <c r="C14" s="302">
        <v>47975400</v>
      </c>
      <c r="D14" s="296">
        <f t="shared" si="0"/>
        <v>7.5750097341418757E-2</v>
      </c>
      <c r="E14" s="303">
        <v>75154247</v>
      </c>
      <c r="F14" s="296">
        <f t="shared" si="1"/>
        <v>7.8007866331646705E-2</v>
      </c>
      <c r="G14" s="304">
        <v>75627701</v>
      </c>
      <c r="H14" s="299">
        <f t="shared" si="2"/>
        <v>7.7063844150131566E-2</v>
      </c>
      <c r="I14" s="302">
        <f t="shared" si="3"/>
        <v>49641600</v>
      </c>
      <c r="J14" s="296">
        <f t="shared" si="4"/>
        <v>7.7063844150131566E-2</v>
      </c>
      <c r="K14" s="300"/>
      <c r="L14" s="305">
        <f t="shared" si="5"/>
        <v>1666200</v>
      </c>
      <c r="M14" s="15"/>
      <c r="N14" s="18"/>
      <c r="P14" s="18"/>
      <c r="Q14" s="23"/>
      <c r="R14" s="102"/>
    </row>
    <row r="15" spans="1:18" ht="13.2" customHeight="1">
      <c r="A15" s="17"/>
      <c r="B15" s="3" t="s">
        <v>40</v>
      </c>
      <c r="C15" s="302">
        <v>13536700</v>
      </c>
      <c r="D15" s="296">
        <f t="shared" si="0"/>
        <v>2.1373586102076965E-2</v>
      </c>
      <c r="E15" s="303">
        <v>19440951</v>
      </c>
      <c r="F15" s="296">
        <f t="shared" si="1"/>
        <v>2.0179127161876739E-2</v>
      </c>
      <c r="G15" s="304">
        <v>20127044</v>
      </c>
      <c r="H15" s="299">
        <f t="shared" si="2"/>
        <v>2.0509249408742977E-2</v>
      </c>
      <c r="I15" s="302">
        <f t="shared" si="3"/>
        <v>13211300</v>
      </c>
      <c r="J15" s="296">
        <f t="shared" si="4"/>
        <v>2.0509249408742977E-2</v>
      </c>
      <c r="K15" s="300"/>
      <c r="L15" s="305">
        <f t="shared" si="5"/>
        <v>-325400</v>
      </c>
      <c r="M15" s="15"/>
      <c r="N15" s="18"/>
      <c r="P15" s="18"/>
      <c r="Q15" s="23"/>
      <c r="R15" s="102"/>
    </row>
    <row r="16" spans="1:18" ht="13.2" customHeight="1">
      <c r="A16" s="17"/>
      <c r="B16" s="3" t="s">
        <v>41</v>
      </c>
      <c r="C16" s="302">
        <v>49992400</v>
      </c>
      <c r="D16" s="296">
        <f t="shared" si="0"/>
        <v>7.8934811722906797E-2</v>
      </c>
      <c r="E16" s="303">
        <v>76777767</v>
      </c>
      <c r="F16" s="296">
        <f t="shared" si="1"/>
        <v>7.9693031657656233E-2</v>
      </c>
      <c r="G16" s="304">
        <v>79288427</v>
      </c>
      <c r="H16" s="299">
        <f t="shared" si="2"/>
        <v>8.0794086035182844E-2</v>
      </c>
      <c r="I16" s="302">
        <f>ROUND((644161800)*J16/100,0)*100-100</f>
        <v>52044400</v>
      </c>
      <c r="J16" s="296">
        <f t="shared" si="4"/>
        <v>8.0794086035182844E-2</v>
      </c>
      <c r="K16" s="300"/>
      <c r="L16" s="305">
        <f t="shared" si="5"/>
        <v>2052000</v>
      </c>
      <c r="M16" s="15"/>
      <c r="N16" s="18"/>
      <c r="P16" s="18"/>
      <c r="Q16" s="23"/>
      <c r="R16" s="102"/>
    </row>
    <row r="17" spans="1:18" ht="13.2" customHeight="1">
      <c r="A17" s="17"/>
      <c r="B17" s="3" t="s">
        <v>42</v>
      </c>
      <c r="C17" s="302">
        <v>43368200</v>
      </c>
      <c r="D17" s="296">
        <f t="shared" si="0"/>
        <v>6.8475622329821462E-2</v>
      </c>
      <c r="E17" s="303">
        <v>70069954</v>
      </c>
      <c r="F17" s="296">
        <f t="shared" si="1"/>
        <v>7.2730521875851328E-2</v>
      </c>
      <c r="G17" s="304">
        <v>67374555</v>
      </c>
      <c r="H17" s="299">
        <f t="shared" si="2"/>
        <v>6.8653973842262739E-2</v>
      </c>
      <c r="I17" s="302">
        <f>ROUND((644161800)*J17/100,0)*100</f>
        <v>44224300</v>
      </c>
      <c r="J17" s="296">
        <f t="shared" si="4"/>
        <v>6.8653973842262739E-2</v>
      </c>
      <c r="K17" s="300"/>
      <c r="L17" s="305">
        <f t="shared" si="5"/>
        <v>856100</v>
      </c>
      <c r="M17" s="15"/>
      <c r="N17" s="18"/>
      <c r="P17" s="18"/>
      <c r="Q17" s="23"/>
      <c r="R17" s="102"/>
    </row>
    <row r="18" spans="1:18" ht="13.2" customHeight="1">
      <c r="A18" s="17"/>
      <c r="B18" s="3" t="s">
        <v>9</v>
      </c>
      <c r="C18" s="302">
        <v>1546100</v>
      </c>
      <c r="D18" s="296">
        <f t="shared" si="0"/>
        <v>2.4411933094787646E-3</v>
      </c>
      <c r="E18" s="303">
        <v>2010416</v>
      </c>
      <c r="F18" s="296">
        <f t="shared" si="1"/>
        <v>2.0867518318559409E-3</v>
      </c>
      <c r="G18" s="304">
        <v>2612533</v>
      </c>
      <c r="H18" s="299">
        <f t="shared" si="2"/>
        <v>2.662144072699971E-3</v>
      </c>
      <c r="I18" s="302">
        <f>167000+ROUND((644161800)*J18/100,0)*100</f>
        <v>1881900</v>
      </c>
      <c r="J18" s="296">
        <f t="shared" si="4"/>
        <v>2.662144072699971E-3</v>
      </c>
      <c r="K18" s="300"/>
      <c r="L18" s="305">
        <f t="shared" si="5"/>
        <v>335800</v>
      </c>
      <c r="M18" s="15"/>
      <c r="N18" s="18"/>
      <c r="P18" s="18"/>
      <c r="Q18" s="23"/>
      <c r="R18" s="102"/>
    </row>
    <row r="19" spans="1:18" ht="13.2" customHeight="1">
      <c r="A19" s="17"/>
      <c r="B19" s="3" t="s">
        <v>10</v>
      </c>
      <c r="C19" s="302">
        <v>8505100</v>
      </c>
      <c r="D19" s="296">
        <f t="shared" si="0"/>
        <v>1.3429010553293992E-2</v>
      </c>
      <c r="E19" s="303">
        <v>13131373</v>
      </c>
      <c r="F19" s="296">
        <f t="shared" si="1"/>
        <v>1.3629973429645229E-2</v>
      </c>
      <c r="G19" s="304">
        <v>14908021</v>
      </c>
      <c r="H19" s="299">
        <f t="shared" si="2"/>
        <v>1.5191119017764253E-2</v>
      </c>
      <c r="I19" s="302">
        <f t="shared" ref="I19:I30" si="6">ROUND((644161800)*J19/100,0)*100</f>
        <v>9785500</v>
      </c>
      <c r="J19" s="296">
        <f t="shared" si="4"/>
        <v>1.5191119017764253E-2</v>
      </c>
      <c r="K19" s="300"/>
      <c r="L19" s="305">
        <f t="shared" si="5"/>
        <v>1280400</v>
      </c>
      <c r="M19" s="15"/>
      <c r="N19" s="18"/>
      <c r="P19" s="18"/>
      <c r="Q19" s="23"/>
      <c r="R19" s="102"/>
    </row>
    <row r="20" spans="1:18" ht="13.2" customHeight="1">
      <c r="A20" s="17"/>
      <c r="B20" s="3" t="s">
        <v>43</v>
      </c>
      <c r="C20" s="302">
        <v>54515200</v>
      </c>
      <c r="D20" s="296">
        <f t="shared" si="0"/>
        <v>8.6076024516458668E-2</v>
      </c>
      <c r="E20" s="303">
        <v>82413057</v>
      </c>
      <c r="F20" s="296">
        <f t="shared" si="1"/>
        <v>8.5542294561721591E-2</v>
      </c>
      <c r="G20" s="304">
        <v>82887317</v>
      </c>
      <c r="H20" s="299">
        <f t="shared" si="2"/>
        <v>8.4461317676581896E-2</v>
      </c>
      <c r="I20" s="302">
        <f t="shared" si="6"/>
        <v>54406800</v>
      </c>
      <c r="J20" s="296">
        <f t="shared" si="4"/>
        <v>8.4461317676581896E-2</v>
      </c>
      <c r="K20" s="300"/>
      <c r="L20" s="305">
        <f t="shared" si="5"/>
        <v>-108400</v>
      </c>
      <c r="M20" s="15"/>
      <c r="N20" s="18"/>
      <c r="P20" s="18"/>
      <c r="Q20" s="23"/>
      <c r="R20" s="102"/>
    </row>
    <row r="21" spans="1:18" ht="13.2" customHeight="1">
      <c r="A21" s="17"/>
      <c r="B21" s="3" t="s">
        <v>44</v>
      </c>
      <c r="C21" s="302">
        <v>30328700</v>
      </c>
      <c r="D21" s="296">
        <f t="shared" si="0"/>
        <v>4.7887083322675515E-2</v>
      </c>
      <c r="E21" s="303">
        <v>45430212</v>
      </c>
      <c r="F21" s="296">
        <f t="shared" si="1"/>
        <v>4.7155204749964062E-2</v>
      </c>
      <c r="G21" s="304">
        <v>46580517</v>
      </c>
      <c r="H21" s="299">
        <f t="shared" si="2"/>
        <v>4.7465064454630904E-2</v>
      </c>
      <c r="I21" s="302">
        <f t="shared" si="6"/>
        <v>30575200</v>
      </c>
      <c r="J21" s="296">
        <f t="shared" si="4"/>
        <v>4.7465064454630904E-2</v>
      </c>
      <c r="K21" s="300"/>
      <c r="L21" s="305">
        <f t="shared" si="5"/>
        <v>246500</v>
      </c>
      <c r="M21" s="15"/>
      <c r="N21" s="18"/>
      <c r="P21" s="18"/>
      <c r="Q21" s="23"/>
      <c r="R21" s="102"/>
    </row>
    <row r="22" spans="1:18" ht="13.2" customHeight="1">
      <c r="A22" s="17"/>
      <c r="B22" s="3" t="s">
        <v>45</v>
      </c>
      <c r="C22" s="302">
        <v>42609600</v>
      </c>
      <c r="D22" s="296">
        <f t="shared" si="0"/>
        <v>6.7277841303645544E-2</v>
      </c>
      <c r="E22" s="303">
        <v>63816984</v>
      </c>
      <c r="F22" s="296">
        <f t="shared" si="1"/>
        <v>6.6240125558850144E-2</v>
      </c>
      <c r="G22" s="304">
        <v>65384080</v>
      </c>
      <c r="H22" s="299">
        <f t="shared" si="2"/>
        <v>6.6625700429790061E-2</v>
      </c>
      <c r="I22" s="302">
        <f t="shared" si="6"/>
        <v>42917700</v>
      </c>
      <c r="J22" s="296">
        <f t="shared" si="4"/>
        <v>6.6625700429790061E-2</v>
      </c>
      <c r="K22" s="300"/>
      <c r="L22" s="305">
        <f t="shared" si="5"/>
        <v>308100</v>
      </c>
      <c r="M22" s="15"/>
      <c r="N22" s="18"/>
      <c r="P22" s="18"/>
      <c r="Q22" s="23"/>
      <c r="R22" s="102"/>
    </row>
    <row r="23" spans="1:18" ht="13.2" customHeight="1">
      <c r="A23" s="17"/>
      <c r="B23" s="3" t="s">
        <v>46</v>
      </c>
      <c r="C23" s="302">
        <v>33205600</v>
      </c>
      <c r="D23" s="296">
        <f t="shared" si="0"/>
        <v>5.2429524970718629E-2</v>
      </c>
      <c r="E23" s="303">
        <v>50972863</v>
      </c>
      <c r="F23" s="296">
        <f t="shared" si="1"/>
        <v>5.2908311135701221E-2</v>
      </c>
      <c r="G23" s="304">
        <v>50757507</v>
      </c>
      <c r="H23" s="299">
        <f t="shared" si="2"/>
        <v>5.1721374009467934E-2</v>
      </c>
      <c r="I23" s="302">
        <f t="shared" si="6"/>
        <v>33316900</v>
      </c>
      <c r="J23" s="296">
        <f t="shared" si="4"/>
        <v>5.1721374009467934E-2</v>
      </c>
      <c r="K23" s="300"/>
      <c r="L23" s="305">
        <f t="shared" si="5"/>
        <v>111300</v>
      </c>
      <c r="M23" s="15"/>
      <c r="N23" s="18"/>
      <c r="P23" s="18"/>
      <c r="Q23" s="23"/>
      <c r="R23" s="102"/>
    </row>
    <row r="24" spans="1:18" ht="13.2" customHeight="1">
      <c r="A24" s="17"/>
      <c r="B24" s="3" t="s">
        <v>47</v>
      </c>
      <c r="C24" s="302">
        <v>41381900</v>
      </c>
      <c r="D24" s="296">
        <f t="shared" si="0"/>
        <v>6.5339381290679316E-2</v>
      </c>
      <c r="E24" s="303">
        <v>62684684</v>
      </c>
      <c r="F24" s="296">
        <f t="shared" si="1"/>
        <v>6.5064831938420109E-2</v>
      </c>
      <c r="G24" s="304">
        <v>61711049</v>
      </c>
      <c r="H24" s="299">
        <f t="shared" si="2"/>
        <v>6.2882919877164226E-2</v>
      </c>
      <c r="I24" s="302">
        <f t="shared" si="6"/>
        <v>40506800</v>
      </c>
      <c r="J24" s="296">
        <f t="shared" si="4"/>
        <v>6.2882919877164226E-2</v>
      </c>
      <c r="K24" s="300"/>
      <c r="L24" s="305">
        <f t="shared" si="5"/>
        <v>-875100</v>
      </c>
      <c r="M24" s="15"/>
      <c r="N24" s="18"/>
      <c r="P24" s="18"/>
      <c r="Q24" s="23"/>
      <c r="R24" s="102"/>
    </row>
    <row r="25" spans="1:18" ht="13.2" customHeight="1">
      <c r="A25" s="17"/>
      <c r="B25" s="3" t="s">
        <v>48</v>
      </c>
      <c r="C25" s="302">
        <v>44188700</v>
      </c>
      <c r="D25" s="296">
        <f t="shared" si="0"/>
        <v>6.9771139508805563E-2</v>
      </c>
      <c r="E25" s="303">
        <v>67390417</v>
      </c>
      <c r="F25" s="296">
        <f t="shared" si="1"/>
        <v>6.9949242407683659E-2</v>
      </c>
      <c r="G25" s="304">
        <v>67604441</v>
      </c>
      <c r="H25" s="299">
        <f t="shared" si="2"/>
        <v>6.8888225295659383E-2</v>
      </c>
      <c r="I25" s="302">
        <f t="shared" si="6"/>
        <v>44375200</v>
      </c>
      <c r="J25" s="296">
        <f t="shared" si="4"/>
        <v>6.8888225295659383E-2</v>
      </c>
      <c r="K25" s="300"/>
      <c r="L25" s="305">
        <f t="shared" si="5"/>
        <v>186500</v>
      </c>
      <c r="M25" s="15"/>
      <c r="N25" s="18"/>
      <c r="P25" s="18"/>
      <c r="Q25" s="23"/>
      <c r="R25" s="102"/>
    </row>
    <row r="26" spans="1:18" ht="13.2" customHeight="1">
      <c r="A26" s="17"/>
      <c r="B26" s="3" t="s">
        <v>49</v>
      </c>
      <c r="C26" s="302">
        <v>36068900</v>
      </c>
      <c r="D26" s="296">
        <f t="shared" si="0"/>
        <v>5.6950493085996132E-2</v>
      </c>
      <c r="E26" s="303">
        <v>57345551</v>
      </c>
      <c r="F26" s="296">
        <f t="shared" si="1"/>
        <v>5.9522971165190827E-2</v>
      </c>
      <c r="G26" s="304">
        <v>58205017</v>
      </c>
      <c r="H26" s="299">
        <f t="shared" si="2"/>
        <v>5.9310309576166523E-2</v>
      </c>
      <c r="I26" s="302">
        <f t="shared" si="6"/>
        <v>38205400</v>
      </c>
      <c r="J26" s="296">
        <f t="shared" si="4"/>
        <v>5.9310309576166523E-2</v>
      </c>
      <c r="K26" s="300"/>
      <c r="L26" s="305">
        <f t="shared" si="5"/>
        <v>2136500</v>
      </c>
      <c r="M26" s="15"/>
      <c r="N26" s="18"/>
      <c r="P26" s="18"/>
      <c r="Q26" s="23"/>
      <c r="R26" s="102"/>
    </row>
    <row r="27" spans="1:18" ht="13.2" customHeight="1">
      <c r="A27" s="17"/>
      <c r="B27" s="3" t="s">
        <v>50</v>
      </c>
      <c r="C27" s="302">
        <v>13831100</v>
      </c>
      <c r="D27" s="296">
        <f t="shared" si="0"/>
        <v>2.1838424929003133E-2</v>
      </c>
      <c r="E27" s="303">
        <v>19262269</v>
      </c>
      <c r="F27" s="296">
        <f t="shared" si="1"/>
        <v>1.9993660576443834E-2</v>
      </c>
      <c r="G27" s="304">
        <v>20234044</v>
      </c>
      <c r="H27" s="299">
        <f t="shared" si="2"/>
        <v>2.0618281300695689E-2</v>
      </c>
      <c r="I27" s="302">
        <f t="shared" si="6"/>
        <v>13281500</v>
      </c>
      <c r="J27" s="296">
        <f t="shared" si="4"/>
        <v>2.0618281300695689E-2</v>
      </c>
      <c r="K27" s="300"/>
      <c r="L27" s="305">
        <f t="shared" si="5"/>
        <v>-549600</v>
      </c>
      <c r="M27" s="15"/>
      <c r="N27" s="18"/>
      <c r="P27" s="18"/>
      <c r="Q27" s="23"/>
      <c r="R27" s="102"/>
    </row>
    <row r="28" spans="1:18" ht="13.2" customHeight="1">
      <c r="A28" s="17"/>
      <c r="B28" s="3" t="s">
        <v>51</v>
      </c>
      <c r="C28" s="302">
        <v>14992800</v>
      </c>
      <c r="D28" s="296">
        <f t="shared" si="0"/>
        <v>2.3672675150606833E-2</v>
      </c>
      <c r="E28" s="303">
        <v>21948623</v>
      </c>
      <c r="F28" s="296">
        <f t="shared" si="1"/>
        <v>2.2782015887241963E-2</v>
      </c>
      <c r="G28" s="304">
        <v>24631206</v>
      </c>
      <c r="H28" s="299">
        <f t="shared" si="2"/>
        <v>2.5098943843523493E-2</v>
      </c>
      <c r="I28" s="302">
        <f t="shared" si="6"/>
        <v>16167800</v>
      </c>
      <c r="J28" s="296">
        <f t="shared" si="4"/>
        <v>2.5098943843523493E-2</v>
      </c>
      <c r="K28" s="300"/>
      <c r="L28" s="305">
        <f t="shared" si="5"/>
        <v>1175000</v>
      </c>
      <c r="M28" s="15"/>
      <c r="N28" s="18"/>
      <c r="P28" s="18"/>
      <c r="Q28" s="23"/>
      <c r="R28" s="102"/>
    </row>
    <row r="29" spans="1:18" ht="13.2" customHeight="1">
      <c r="A29" s="17"/>
      <c r="B29" s="3" t="s">
        <v>52</v>
      </c>
      <c r="C29" s="302">
        <v>10030700</v>
      </c>
      <c r="D29" s="296">
        <f t="shared" si="0"/>
        <v>1.5837835670001063E-2</v>
      </c>
      <c r="E29" s="303">
        <v>14039931</v>
      </c>
      <c r="F29" s="296">
        <f t="shared" si="1"/>
        <v>1.4573029528903974E-2</v>
      </c>
      <c r="G29" s="304">
        <v>14854015</v>
      </c>
      <c r="H29" s="299">
        <f t="shared" si="2"/>
        <v>1.513608746302782E-2</v>
      </c>
      <c r="I29" s="302">
        <f t="shared" si="6"/>
        <v>9750100</v>
      </c>
      <c r="J29" s="296">
        <f t="shared" si="4"/>
        <v>1.513608746302782E-2</v>
      </c>
      <c r="K29" s="300"/>
      <c r="L29" s="305">
        <f t="shared" si="5"/>
        <v>-280600</v>
      </c>
      <c r="M29" s="15"/>
      <c r="N29" s="18"/>
      <c r="P29" s="18"/>
      <c r="Q29" s="23"/>
      <c r="R29" s="102"/>
    </row>
    <row r="30" spans="1:18" ht="13.2" customHeight="1">
      <c r="A30" s="17"/>
      <c r="B30" s="3" t="s">
        <v>53</v>
      </c>
      <c r="C30" s="302">
        <v>15942400</v>
      </c>
      <c r="D30" s="296">
        <f t="shared" si="0"/>
        <v>2.5172032997240967E-2</v>
      </c>
      <c r="E30" s="303">
        <v>22762896</v>
      </c>
      <c r="F30" s="296">
        <f t="shared" si="1"/>
        <v>2.3627206969277139E-2</v>
      </c>
      <c r="G30" s="304">
        <v>23703010</v>
      </c>
      <c r="H30" s="299">
        <f t="shared" si="2"/>
        <v>2.4153121731533396E-2</v>
      </c>
      <c r="I30" s="302">
        <f t="shared" si="6"/>
        <v>15558500</v>
      </c>
      <c r="J30" s="296">
        <f t="shared" si="4"/>
        <v>2.4153121731533396E-2</v>
      </c>
      <c r="K30" s="300"/>
      <c r="L30" s="305">
        <f t="shared" si="5"/>
        <v>-383900</v>
      </c>
      <c r="M30" s="15"/>
      <c r="N30" s="18"/>
      <c r="P30" s="18"/>
      <c r="Q30" s="23"/>
      <c r="R30" s="102"/>
    </row>
    <row r="31" spans="1:18" ht="13.2" customHeight="1">
      <c r="A31" s="17"/>
      <c r="C31" s="306"/>
      <c r="D31" s="307"/>
      <c r="E31" s="308"/>
      <c r="F31" s="309"/>
      <c r="G31" s="310"/>
      <c r="H31" s="24"/>
      <c r="I31" s="306"/>
      <c r="J31" s="309"/>
      <c r="K31" s="311"/>
      <c r="L31" s="305"/>
      <c r="M31" s="15"/>
      <c r="N31" s="18"/>
      <c r="O31" s="18"/>
    </row>
    <row r="32" spans="1:18" ht="16.2" customHeight="1">
      <c r="A32" s="20"/>
      <c r="B32" s="312" t="s">
        <v>22</v>
      </c>
      <c r="C32" s="313">
        <f>SUM(C8:C31)</f>
        <v>633337800</v>
      </c>
      <c r="D32" s="314">
        <f>SUM(D8:D30)</f>
        <v>0.99999999999999978</v>
      </c>
      <c r="E32" s="315">
        <f>SUM(E8:E30)</f>
        <v>963418826</v>
      </c>
      <c r="F32" s="316">
        <f>SUM(F8:F30)</f>
        <v>0.99999999999999989</v>
      </c>
      <c r="G32" s="317">
        <f>SUM(G8:G30)</f>
        <v>981364242</v>
      </c>
      <c r="H32" s="314">
        <f>SUM(H8:H30)</f>
        <v>1.0000000000000002</v>
      </c>
      <c r="I32" s="317">
        <f>SUM(I8:I31)</f>
        <v>644328800</v>
      </c>
      <c r="J32" s="316">
        <f>SUM(J8:J30)</f>
        <v>1.0000000000000002</v>
      </c>
      <c r="K32" s="318"/>
      <c r="L32" s="319">
        <f>SUM(L8:L31)</f>
        <v>10991000</v>
      </c>
      <c r="M32" s="21"/>
      <c r="N32" s="23"/>
      <c r="O32" s="22"/>
      <c r="Q32" s="31"/>
    </row>
    <row r="33" spans="1:17">
      <c r="C33" s="24"/>
      <c r="D33" s="24"/>
      <c r="E33" s="24"/>
      <c r="F33" s="25"/>
      <c r="G33" s="24"/>
      <c r="H33" s="24"/>
      <c r="I33" s="123"/>
      <c r="J33" s="24"/>
      <c r="K33" s="24"/>
      <c r="L33" s="107"/>
      <c r="M33" s="23"/>
      <c r="O33" s="30"/>
      <c r="Q33" s="31"/>
    </row>
    <row r="34" spans="1:17" ht="16.8">
      <c r="A34" s="198" t="s">
        <v>127</v>
      </c>
      <c r="C34" s="26"/>
      <c r="G34" s="124"/>
      <c r="I34" s="106"/>
      <c r="J34" s="26"/>
      <c r="K34" s="26"/>
      <c r="L34" s="106"/>
      <c r="O34" s="30"/>
      <c r="Q34" s="31"/>
    </row>
    <row r="35" spans="1:17">
      <c r="C35" s="42"/>
      <c r="I35" s="26"/>
      <c r="L35" s="26"/>
      <c r="Q35" s="101"/>
    </row>
    <row r="36" spans="1:17">
      <c r="C36" s="26"/>
    </row>
  </sheetData>
  <mergeCells count="6">
    <mergeCell ref="E4:M4"/>
    <mergeCell ref="C5:D5"/>
    <mergeCell ref="E5:F5"/>
    <mergeCell ref="G5:H5"/>
    <mergeCell ref="I5:J5"/>
    <mergeCell ref="K5:M5"/>
  </mergeCells>
  <printOptions horizontalCentered="1"/>
  <pageMargins left="0.25" right="0.25" top="0.5" bottom="0.25" header="0.5" footer="0.5"/>
  <pageSetup paperSize="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1107925717494DA363C8461863197E" ma:contentTypeVersion="3" ma:contentTypeDescription="Create a new document." ma:contentTypeScope="" ma:versionID="0666b6708380ce94cfb65ce431d66a17">
  <xsd:schema xmlns:xsd="http://www.w3.org/2001/XMLSchema" xmlns:xs="http://www.w3.org/2001/XMLSchema" xmlns:p="http://schemas.microsoft.com/office/2006/metadata/properties" xmlns:ns1="http://schemas.microsoft.com/sharepoint/v3" xmlns:ns2="30355ef0-b855-4ebb-a92a-a6c79f7573fd" targetNamespace="http://schemas.microsoft.com/office/2006/metadata/properties" ma:root="true" ma:fieldsID="409c78a1bd5f67095bc91f3d5ee450cd" ns1:_="" ns2:_="">
    <xsd:import namespace="http://schemas.microsoft.com/sharepoint/v3"/>
    <xsd:import namespace="30355ef0-b855-4ebb-a92a-a6c79f7573fd"/>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0355ef0-b855-4ebb-a92a-a6c79f7573f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30355ef0-b855-4ebb-a92a-a6c79f7573fd">72WVDYXX2UNK-1717399031-127</_dlc_DocId>
    <_dlc_DocIdUrl xmlns="30355ef0-b855-4ebb-a92a-a6c79f7573fd">
      <Url>https://www.calstate.edu/csu-system/about-the-csu/budget/_layouts/15/DocIdRedir.aspx?ID=72WVDYXX2UNK-1717399031-127</Url>
      <Description>72WVDYXX2UNK-1717399031-127</Description>
    </_dlc_DocIdUrl>
  </documentManagement>
</p:properties>
</file>

<file path=customXml/itemProps1.xml><?xml version="1.0" encoding="utf-8"?>
<ds:datastoreItem xmlns:ds="http://schemas.openxmlformats.org/officeDocument/2006/customXml" ds:itemID="{6478B878-5BB9-4C07-90B1-61BA4A31EC3A}"/>
</file>

<file path=customXml/itemProps2.xml><?xml version="1.0" encoding="utf-8"?>
<ds:datastoreItem xmlns:ds="http://schemas.openxmlformats.org/officeDocument/2006/customXml" ds:itemID="{A791A945-DABA-49A3-85DC-96AB6704D7A6}"/>
</file>

<file path=customXml/itemProps3.xml><?xml version="1.0" encoding="utf-8"?>
<ds:datastoreItem xmlns:ds="http://schemas.openxmlformats.org/officeDocument/2006/customXml" ds:itemID="{B852E52A-A3C1-467F-8F11-FC43A958F09C}"/>
</file>

<file path=customXml/itemProps4.xml><?xml version="1.0" encoding="utf-8"?>
<ds:datastoreItem xmlns:ds="http://schemas.openxmlformats.org/officeDocument/2006/customXml" ds:itemID="{2074F6BD-9E8E-4D3E-B6C6-BF4B27858A4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(A) Budget Summary</vt:lpstr>
      <vt:lpstr>(B) Base Bud Adj</vt:lpstr>
      <vt:lpstr>(C) 14-15 CSU GF Adjustments</vt:lpstr>
      <vt:lpstr>(D) Tuition Fee Revenue</vt:lpstr>
      <vt:lpstr>(E) Tuit Fee Discounts</vt:lpstr>
      <vt:lpstr>'(A) Budget Summary'!Print_Area</vt:lpstr>
      <vt:lpstr>'(B) Base Bud Adj'!Print_Area</vt:lpstr>
      <vt:lpstr>'(C) 14-15 CSU GF Adjustments'!Print_Area</vt:lpstr>
      <vt:lpstr>'(D) Tuition Fee Revenue'!Print_Area</vt:lpstr>
      <vt:lpstr>'(E) Tuit Fee Discounts'!Print_Area</vt:lpstr>
      <vt:lpstr>'(D) Tuition Fee Revenue'!Print_Titles</vt:lpstr>
    </vt:vector>
  </TitlesOfParts>
  <Company>California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Rodney Rideau</dc:creator>
  <cp:lastModifiedBy>Canfield, Chris</cp:lastModifiedBy>
  <cp:lastPrinted>2014-08-26T20:48:06Z</cp:lastPrinted>
  <dcterms:created xsi:type="dcterms:W3CDTF">2005-01-20T22:46:37Z</dcterms:created>
  <dcterms:modified xsi:type="dcterms:W3CDTF">2014-08-27T23:50:25Z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0x0101008F1107925717494DA363C8461863197E</vt:lpwstr>
  </property>
  <property fmtid="{D5CDD505-2E9C-101B-9397-08002B2CF9AE}" pid="3" name="_dlc_DocIdItemGuid">
    <vt:lpwstr>eb4c28c7-6292-4b27-afd6-655590feb718</vt:lpwstr>
  </property>
</Properties>
</file>