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385" yWindow="65521" windowWidth="7260" windowHeight="9810" tabRatio="569" activeTab="0"/>
  </bookViews>
  <sheets>
    <sheet name="(A) Budget Summary" sheetId="1" r:id="rId1"/>
    <sheet name="(B) Base Bud Adj" sheetId="2" r:id="rId2"/>
    <sheet name="(C) 11-12 Expenditure Adjust." sheetId="3" r:id="rId3"/>
    <sheet name="(D) Tuition Revenue" sheetId="4" r:id="rId4"/>
    <sheet name="(E) 2011-12 FTES " sheetId="5" r:id="rId5"/>
    <sheet name="(F) SUG " sheetId="6" r:id="rId6"/>
    <sheet name="(G) Interest Pymt Schedule" sheetId="7" r:id="rId7"/>
  </sheets>
  <definedNames>
    <definedName name="_xlnm.Print_Area" localSheetId="0">'(A) Budget Summary'!$A$1:$T$44</definedName>
    <definedName name="_xlnm.Print_Area" localSheetId="1">'(B) Base Bud Adj'!$A$1:$W$43</definedName>
    <definedName name="_xlnm.Print_Area" localSheetId="2">'(C) 11-12 Expenditure Adjust.'!$A$1:$S$40</definedName>
    <definedName name="_xlnm.Print_Area" localSheetId="3">'(D) Tuition Revenue'!$A$1:$AC$45</definedName>
    <definedName name="_xlnm.Print_Area" localSheetId="4">'(E) 2011-12 FTES '!$A$1:$J$44</definedName>
    <definedName name="_xlnm.Print_Area" localSheetId="5">'(F) SUG '!$A$1:$M$35</definedName>
    <definedName name="_xlnm.Print_Area" localSheetId="6">'(G) Interest Pymt Schedule'!$A$1:$J$35</definedName>
    <definedName name="_xlnm.Print_Titles" localSheetId="3">'(D) Tuition Revenue'!$A:$A,'(D) Tuition Revenue'!$1:$4</definedName>
  </definedNames>
  <calcPr fullCalcOnLoad="1"/>
</workbook>
</file>

<file path=xl/sharedStrings.xml><?xml version="1.0" encoding="utf-8"?>
<sst xmlns="http://schemas.openxmlformats.org/spreadsheetml/2006/main" count="362" uniqueCount="194">
  <si>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</si>
  <si>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</si>
  <si>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</si>
  <si>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</si>
  <si>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</si>
  <si>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</si>
  <si>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</si>
  <si>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</si>
  <si>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</si>
  <si>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</si>
  <si>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</si>
  <si>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</si>
  <si>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</si>
  <si>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</si>
  <si>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</si>
  <si>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</si>
  <si>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</si>
  <si>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</si>
  <si>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</si>
  <si>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</si>
  <si>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</si>
  <si>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</si>
  <si>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</si>
  <si>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</si>
  <si>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</si>
  <si>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</si>
  <si>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</si>
  <si>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</si>
  <si>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Campus Reported Gross         Final Budget</t>
  </si>
  <si>
    <t>East Bay</t>
  </si>
  <si>
    <t>CalStateTeach</t>
  </si>
  <si>
    <t>Energy</t>
  </si>
  <si>
    <t>Health</t>
  </si>
  <si>
    <t>Quarterly Payment Schedule</t>
  </si>
  <si>
    <t>Campus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</si>
  <si>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</si>
  <si>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</si>
  <si>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t>(Sum Cols. 1-3)</t>
  </si>
  <si>
    <t>Unadjusted Other Fee Revenue and Reim.</t>
  </si>
  <si>
    <t>Grand Total</t>
  </si>
  <si>
    <t>Sub-Totals</t>
  </si>
  <si>
    <t>Change in Student Enrollment Patterns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</si>
  <si>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</si>
  <si>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</si>
  <si>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</si>
  <si>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</si>
  <si>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</si>
  <si>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</si>
  <si>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</si>
  <si>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</si>
  <si>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</si>
  <si>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</si>
  <si>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</si>
  <si>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</si>
  <si>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</si>
  <si>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</si>
  <si>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</si>
  <si>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</si>
  <si>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</si>
  <si>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</si>
  <si>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</si>
  <si>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</si>
  <si>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</si>
  <si>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TOTALS</t>
  </si>
  <si>
    <t>(Cols. 2 - 1)</t>
  </si>
  <si>
    <t>CSU Resident Full-Time Equivalent Students</t>
  </si>
  <si>
    <r>
      <t xml:space="preserve">Resident Students </t>
    </r>
    <r>
      <rPr>
        <b/>
        <vertAlign val="superscript"/>
        <sz val="11"/>
        <rFont val="Times New Roman"/>
        <family val="1"/>
      </rPr>
      <t>1</t>
    </r>
  </si>
  <si>
    <r>
      <t xml:space="preserve">Nonresident Students </t>
    </r>
    <r>
      <rPr>
        <b/>
        <vertAlign val="superscript"/>
        <sz val="11"/>
        <rFont val="Times New Roman"/>
        <family val="1"/>
      </rPr>
      <t>1</t>
    </r>
  </si>
  <si>
    <r>
      <t xml:space="preserve">2010/11 FTES B 10-04 Baseline </t>
    </r>
    <r>
      <rPr>
        <vertAlign val="superscript"/>
        <sz val="11"/>
        <rFont val="Times New Roman"/>
        <family val="1"/>
      </rPr>
      <t>1</t>
    </r>
  </si>
  <si>
    <t>(Cols. 2 + 7)</t>
  </si>
  <si>
    <t>(Cols. 1 + 5 + 6)</t>
  </si>
  <si>
    <t>(Sum Cols. 8-10)</t>
  </si>
  <si>
    <t>ATTACHMENT G - CSU Operating Revenue - 2011/12 Interest Payment Schedule</t>
  </si>
  <si>
    <t>(Included with the 2011/12 budget allocation memo for information only)</t>
  </si>
  <si>
    <t xml:space="preserve">The 2011/12 interest chargeback by campus is based on the campus operating revenue equivalent to the 2010/11 Tuition and Other Fee Revenue reported in 2010/11 FIRMS final budget submissions. </t>
  </si>
  <si>
    <t>2010/11 FIRMS Final Budget Detail</t>
  </si>
  <si>
    <t xml:space="preserve">General Fund Allocation </t>
  </si>
  <si>
    <t>2010/11 B 10-04 General Fund Allocation</t>
  </si>
  <si>
    <t>Financial Aid / SUG Distribution Based on Need</t>
  </si>
  <si>
    <t>Dental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</si>
  <si>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Reference Attachment E for corresponding FTES by campus.</t>
    </r>
  </si>
  <si>
    <r>
      <t xml:space="preserve">2011/12 Non-resident FTES </t>
    </r>
    <r>
      <rPr>
        <vertAlign val="superscript"/>
        <sz val="11"/>
        <rFont val="Times New Roman"/>
        <family val="1"/>
      </rPr>
      <t>2</t>
    </r>
  </si>
  <si>
    <t xml:space="preserve">2011/12 Total FTES </t>
  </si>
  <si>
    <r>
      <t xml:space="preserve">2011/12 SUG Adjustment based on 331,716 Resident FTES with Revenue from 10% Tuition </t>
    </r>
    <r>
      <rPr>
        <b/>
        <sz val="11"/>
        <color indexed="8"/>
        <rFont val="Times New Roman"/>
        <family val="1"/>
      </rPr>
      <t>Rate Change</t>
    </r>
  </si>
  <si>
    <t>SUG Academic Year (AY) Eligibility Based on 2009/10 Final Database With 2011/12 Fee Levels</t>
  </si>
  <si>
    <t>SUG AY Eligibility Further Adjusted to Reflect Funded Enrollment Targets from 2009/10 to 2011/12</t>
  </si>
  <si>
    <r>
      <t xml:space="preserve">B 10-04 2010/11 Allocations - October 2010 </t>
    </r>
    <r>
      <rPr>
        <vertAlign val="superscript"/>
        <sz val="11"/>
        <color indexed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</si>
  <si>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For purposes of fee revenue and SUG calculations, the 2010/11 FTES B 10-04 baseline was 326,290 FTES.</t>
    </r>
  </si>
  <si>
    <r>
      <t xml:space="preserve">1 </t>
    </r>
    <r>
      <rPr>
        <sz val="10"/>
        <color indexed="8"/>
        <rFont val="Times New Roman"/>
        <family val="1"/>
      </rPr>
      <t>For purposes of fee revenue and SUG calculations, the 2010/11 FTES B 10-04 baseline was 326,290 FTES.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</si>
  <si>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2011/12 operating revenue interest to be assessed is $3.526M, which represents a $3.714M decrease to the 2010/11 $7.240M level.  CSU is obligated by budget statute to keep the State whole for interest earned on student fee revenue held in trust. This was the result of a State/CSU agreement when CSU state support operations moved from the General Fund to the Trust Fund in 2006/07. </t>
    </r>
  </si>
  <si>
    <t>(Attach. F / Col. 3)</t>
  </si>
  <si>
    <t>Summer 2011 Change in Enrollment Patterns</t>
  </si>
  <si>
    <t>Full-Year Effect of Mid-Year 2010/11 Tuition Fee Rate Increase - 326,290 FTES</t>
  </si>
  <si>
    <t>Full-Year Effect of Mid-Year 2010/11 Tuition Fee Rate Increase</t>
  </si>
  <si>
    <t>-1/3rd of Col. 7</t>
  </si>
  <si>
    <t>-1/3rd of Col. 11 &amp; 12</t>
  </si>
  <si>
    <t>-1/3rd of Col. 14</t>
  </si>
  <si>
    <t>Col. 1 + 9</t>
  </si>
  <si>
    <t>Col. 2 + 10</t>
  </si>
  <si>
    <t>Col. 3 + 11</t>
  </si>
  <si>
    <t>= Col. 5</t>
  </si>
  <si>
    <t>Col. 4 + 12</t>
  </si>
  <si>
    <t>Col. 6 + 13</t>
  </si>
  <si>
    <t>Col. 7 + 14</t>
  </si>
  <si>
    <t>Col. 8 + 15</t>
  </si>
  <si>
    <t>Col. 21 + 23</t>
  </si>
  <si>
    <t>Col. 24 + 25</t>
  </si>
  <si>
    <r>
      <t xml:space="preserve">2 </t>
    </r>
    <r>
      <rPr>
        <sz val="10"/>
        <rFont val="Times New Roman"/>
        <family val="1"/>
      </rPr>
      <t xml:space="preserve">The nonresident FTES is equal to the 2009/10 actual FTES. </t>
    </r>
  </si>
  <si>
    <t>2011/12 Resident FTES Change</t>
  </si>
  <si>
    <t>One-Time Funding</t>
  </si>
  <si>
    <r>
      <t xml:space="preserve">2010/11 Retirement Adjustment </t>
    </r>
    <r>
      <rPr>
        <vertAlign val="superscript"/>
        <sz val="10"/>
        <rFont val="Times New Roman"/>
        <family val="1"/>
      </rPr>
      <t>1</t>
    </r>
  </si>
  <si>
    <t>(Ref. FTES Adjustments in Attach. E / Col. 2)</t>
  </si>
  <si>
    <t>$106M GF Restoration / Funded FTES Adjustments (2010/11 MC Rate of $7,305)</t>
  </si>
  <si>
    <t>Governor's Budget $500 Million Reduction</t>
  </si>
  <si>
    <t>Net Full-Year Spring 2011 Fee Increase Offset</t>
  </si>
  <si>
    <t>Net 10% AY Fee Increase Offset</t>
  </si>
  <si>
    <t>Remaining Adjustments</t>
  </si>
  <si>
    <t>Revised General Fund Base</t>
  </si>
  <si>
    <r>
      <t xml:space="preserve">GF Base Adjustments (SWPs) </t>
    </r>
    <r>
      <rPr>
        <vertAlign val="superscript"/>
        <sz val="10"/>
        <rFont val="Times New Roman"/>
        <family val="1"/>
      </rPr>
      <t>2</t>
    </r>
  </si>
  <si>
    <t>Total $500 Million Reduction</t>
  </si>
  <si>
    <r>
      <t xml:space="preserve">2011/12 General Fund Base                   </t>
    </r>
    <r>
      <rPr>
        <i/>
        <sz val="9"/>
        <color indexed="8"/>
        <rFont val="Times New Roman"/>
        <family val="1"/>
      </rPr>
      <t xml:space="preserve"> (before SUG Adjustments)</t>
    </r>
  </si>
  <si>
    <t>2011/12 Gross Budget Allocation</t>
  </si>
  <si>
    <t>(Attach. D / Col. 25)</t>
  </si>
  <si>
    <t>B 11-01 Financial Aid Set-Aside</t>
  </si>
  <si>
    <t>Total Mandatory Costs</t>
  </si>
  <si>
    <r>
      <t xml:space="preserve">New Space Need </t>
    </r>
    <r>
      <rPr>
        <vertAlign val="superscript"/>
        <sz val="10"/>
        <color indexed="8"/>
        <rFont val="Times New Roman"/>
        <family val="1"/>
      </rPr>
      <t>4</t>
    </r>
  </si>
  <si>
    <t>(a)</t>
  </si>
  <si>
    <t>(b)</t>
  </si>
  <si>
    <t xml:space="preserve">(c) </t>
  </si>
  <si>
    <t>(d)</t>
  </si>
  <si>
    <t>(Sum Cols. a-d)</t>
  </si>
  <si>
    <r>
      <t xml:space="preserve">2011/12 General Fund Base                           </t>
    </r>
    <r>
      <rPr>
        <i/>
        <sz val="9"/>
        <color indexed="8"/>
        <rFont val="Times New Roman"/>
        <family val="1"/>
      </rPr>
      <t xml:space="preserve"> (after SUG Adjustments)</t>
    </r>
  </si>
  <si>
    <t>(Sum Cols. 2-4)</t>
  </si>
  <si>
    <t>(Sum Cols. 2-5)</t>
  </si>
  <si>
    <t>(Attach. B, Col. 6)</t>
  </si>
  <si>
    <t>(Cols. 1 + 5)</t>
  </si>
  <si>
    <t>Financial Aid Adjustments</t>
  </si>
  <si>
    <t>General Fund</t>
  </si>
  <si>
    <t>GF Base Adjustments</t>
  </si>
  <si>
    <t>GF Expenditure Adjustments</t>
  </si>
  <si>
    <t>2011/12 Tuition Revenue Adjustment</t>
  </si>
  <si>
    <r>
      <t>Other Fee Revenue and SWP Reim.</t>
    </r>
    <r>
      <rPr>
        <vertAlign val="superscript"/>
        <sz val="10"/>
        <rFont val="Times New Roman"/>
        <family val="1"/>
      </rPr>
      <t>2</t>
    </r>
  </si>
  <si>
    <t>Tuition</t>
  </si>
  <si>
    <r>
      <t xml:space="preserve">2011/12 General Fund Base </t>
    </r>
    <r>
      <rPr>
        <sz val="9"/>
        <color indexed="8"/>
        <rFont val="Times New Roman"/>
        <family val="1"/>
      </rPr>
      <t xml:space="preserve">(after base budget adjustments) </t>
    </r>
  </si>
  <si>
    <t>(Cols. 1 + 6)</t>
  </si>
  <si>
    <t>Total GF Expenditure Adjustments</t>
  </si>
  <si>
    <t>(Cols. 5 + 7 + 8)</t>
  </si>
  <si>
    <t>(Cols. 1 + 9)</t>
  </si>
  <si>
    <t>(Attach. C, Col. 9)</t>
  </si>
  <si>
    <r>
      <t xml:space="preserve">Change in Student Enrollment Patterns </t>
    </r>
    <r>
      <rPr>
        <vertAlign val="superscript"/>
        <sz val="10"/>
        <rFont val="Times New Roman"/>
        <family val="1"/>
      </rPr>
      <t>2</t>
    </r>
  </si>
  <si>
    <r>
      <t xml:space="preserve">Enrollment Increase from 326,290 to 331,716 FTES Baseline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</si>
  <si>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Based on 2011/12 new space need @ $9.80 per square foot.</t>
    </r>
  </si>
  <si>
    <t>(Attach. D, Col. 24)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</si>
  <si>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Pending retirement savings ($29,697,000) resulting from lower mid-year rates held in systemwide provisions.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</si>
  <si>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operating fee revenue interest assessment adjustment ($3,714,000) in Systemwide Provisions (SWP); transfer from SWPs to CSU Bakersfield to fund Lancaster ($85,000); SWP lease revenue bonds adjustments (-$9,961,000 in 2010/11 and $182,000 in 2011/12), dental annuitants funding adjustment ($977,000), and deferred maintenance debt retirement (-$2,309,000). </t>
    </r>
  </si>
  <si>
    <t>(=Col. 3)</t>
  </si>
  <si>
    <t>(Attach. B, Col. 7)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</si>
  <si>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Amounts are the sum of 1/3rd of Column 3;  1/3rd of Column 4; and $1,061/FTES (2011/12 MC SUG) times FTES growth.</t>
    </r>
  </si>
  <si>
    <t>Note:  for those campuses with 2011 self-support summer, summer-term resident FTES was moved to the academic year and nonresident FTES was eliminated for purposes of tuition revenue calculations.</t>
  </si>
  <si>
    <t>2011/12 Budget Adjustments</t>
  </si>
  <si>
    <r>
      <t xml:space="preserve">Projected Mandatory Costs </t>
    </r>
    <r>
      <rPr>
        <b/>
        <vertAlign val="superscript"/>
        <sz val="12"/>
        <rFont val="Times New Roman"/>
        <family val="1"/>
      </rPr>
      <t>3</t>
    </r>
  </si>
  <si>
    <t>Campus Reported Tuition Fee Revenue</t>
  </si>
  <si>
    <t>Tuition Fee Revenue</t>
  </si>
  <si>
    <t>Represents other CSU Operating Fund fee revenue besides tuition fee; the only reimbursement shown is lease bond payments in SWPs.</t>
  </si>
  <si>
    <t>Tuition Fee Revenue Financial Aid Set-Aside</t>
  </si>
  <si>
    <t>2011/12 Tuition Fee Revenue - 10% Rate Increase on 331,716 FTES</t>
  </si>
  <si>
    <t>One-Third Financial Aid Set-Aside on Tuition Fee Rate Increases</t>
  </si>
  <si>
    <t>2011/12 Tuition Fee Revenue - 10% Rate Increase</t>
  </si>
  <si>
    <t xml:space="preserve">Adjustments in SUG Set-Aside from Enrollment Increase, Full-Year Effect of 2010/11 Mid-Year and Summer Tuition Fee Rate Change </t>
  </si>
  <si>
    <r>
      <t xml:space="preserve">Adjustments in SUG Set-Aside from Enrollment Increase, Full-Year Effect of 2010/11 Mid-Year and Summer Tuition Fee Rate Changes </t>
    </r>
    <r>
      <rPr>
        <vertAlign val="superscript"/>
        <sz val="10"/>
        <rFont val="Times New Roman"/>
        <family val="1"/>
      </rPr>
      <t>4</t>
    </r>
  </si>
  <si>
    <t>Adjustments in SUG Set-Aside from Full-Year Effect of 2010/11 Mid-Year and Summer Tuition Fee Rate Changes</t>
  </si>
  <si>
    <t>2010/11 Tuition Fee Rate Change Applied to Lagging Summer Term for Rate Change Purposes</t>
  </si>
  <si>
    <t>B 11-01 2011/12 Tuition Fee Revenue Adjustment - before Financial Aid Set-Aside</t>
  </si>
  <si>
    <t>B 11-01 2011/12 Tuition Fee Revenue Adjustment - Net of Financial Aid</t>
  </si>
  <si>
    <t>Sum Cols. 16-20 + 22</t>
  </si>
  <si>
    <t>(Cols. 3 + 4)</t>
  </si>
  <si>
    <t>2011/12 CSU April Budget Allocation Totals</t>
  </si>
  <si>
    <t>ATTACHMENT A - 2011/12 April Budget Allocations, Gross Budget Summary</t>
  </si>
  <si>
    <t>2011/12 April Budget Allocations, General Fund Base Adjustments</t>
  </si>
  <si>
    <t xml:space="preserve">3 Mandatory costs provided for information only in 2011/12 April budget allocations.  </t>
  </si>
  <si>
    <t xml:space="preserve">ATTACHMENT B - 2011/12 April Budget Allocation Base Adjustments </t>
  </si>
  <si>
    <t xml:space="preserve">ATTACHMENT C - 2011/12 April Budget Allocation, General Fund Expenditure Adjustments </t>
  </si>
  <si>
    <t>ATTACHMENT D -- 2011/12 April Budget Allocations, Tuition Fee Revenue Adjustments</t>
  </si>
  <si>
    <t>April Budget Allocations, Tuition Fee Revenue Adjustments (CONT.)</t>
  </si>
  <si>
    <t xml:space="preserve">ATTACHMENT E -  2011/12 April Budget Allocations Enrollment </t>
  </si>
  <si>
    <t>2011/12 April Budget Allocations Resident FTES</t>
  </si>
  <si>
    <t xml:space="preserve">ATTACHMENT F - 2011/12 April Budget Allocations, State University Grant (SUG) Adjustment </t>
  </si>
  <si>
    <r>
      <t xml:space="preserve">B 10-04 General Fund Allocation </t>
    </r>
    <r>
      <rPr>
        <sz val="9"/>
        <rFont val="Times New Roman"/>
        <family val="1"/>
      </rPr>
      <t>(with $106.6M Fed. Funds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)</t>
    </r>
  </si>
  <si>
    <t>One-time $106,552,869 Federal Funds replaced General Fund in 2010/11.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</si>
  <si>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 xml:space="preserve">Represents change in actual student enrollment patterns from 2008/09 to 2009/10 (most recent past-year actual available for April budget allocations). 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</si>
  <si>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Total 2011/12 Resident FTES is 331,716.  The 2010/11 FTES baseline was 326,290 FTES. </t>
    </r>
  </si>
  <si>
    <t>Coded Memo B 2011-01, April 14, 2011</t>
  </si>
  <si>
    <t xml:space="preserve">B 11-01 April Budget Allocations Total SUG Funding Available / 100% Distributed Based on Need </t>
  </si>
  <si>
    <t xml:space="preserve">B 11-01 April Budget Allocations SUG Increase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</si>
</sst>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mmm\-yyyy"/>
    <numFmt numFmtId="168" formatCode="0.0000%"/>
    <numFmt numFmtId="169" formatCode="0.00000%"/>
    <numFmt numFmtId="170" formatCode="0.000%"/>
    <numFmt numFmtId="171" formatCode="#,##0.0_);\(#,##0.0\)"/>
  </numFmts>
  <fonts count="9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2"/>
    </font>
    <font>
      <vertAlign val="superscript"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7"/>
      <color indexed="10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0"/>
      <name val="Times New Roman"/>
      <family val="1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double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horizontal="center" vertical="center" wrapText="1"/>
    </xf>
    <xf numFmtId="5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37" fontId="0" fillId="0" borderId="0" xfId="0" applyNumberFormat="1" applyFont="1" applyFill="1" applyAlignment="1">
      <alignment/>
    </xf>
    <xf numFmtId="5" fontId="0" fillId="0" borderId="11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37" fontId="0" fillId="0" borderId="10" xfId="0" applyNumberForma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3" fillId="0" borderId="0" xfId="0" applyNumberFormat="1" applyFont="1" applyFill="1" applyBorder="1" applyAlignment="1">
      <alignment horizontal="center" vertical="center" wrapText="1"/>
    </xf>
    <xf numFmtId="37" fontId="9" fillId="0" borderId="0" xfId="0" applyNumberFormat="1" applyFont="1" applyFill="1" applyAlignment="1">
      <alignment horizontal="center" vertical="center" wrapText="1"/>
    </xf>
    <xf numFmtId="37" fontId="6" fillId="0" borderId="0" xfId="0" applyNumberFormat="1" applyFont="1" applyFill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center" vertical="center" wrapText="1"/>
    </xf>
    <xf numFmtId="5" fontId="8" fillId="0" borderId="12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 vertical="top"/>
    </xf>
    <xf numFmtId="37" fontId="5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 horizontal="left" wrapText="1"/>
    </xf>
    <xf numFmtId="37" fontId="12" fillId="0" borderId="13" xfId="0" applyNumberFormat="1" applyFon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 wrapText="1"/>
    </xf>
    <xf numFmtId="37" fontId="8" fillId="0" borderId="14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Border="1" applyAlignment="1">
      <alignment horizontal="center" wrapText="1"/>
    </xf>
    <xf numFmtId="37" fontId="0" fillId="0" borderId="10" xfId="0" applyNumberFormat="1" applyFont="1" applyFill="1" applyBorder="1" applyAlignment="1">
      <alignment horizontal="center" wrapText="1"/>
    </xf>
    <xf numFmtId="5" fontId="11" fillId="0" borderId="11" xfId="0" applyNumberFormat="1" applyFont="1" applyFill="1" applyBorder="1" applyAlignment="1">
      <alignment/>
    </xf>
    <xf numFmtId="5" fontId="11" fillId="0" borderId="12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11" fillId="0" borderId="0" xfId="0" applyNumberFormat="1" applyFont="1" applyFill="1" applyAlignment="1">
      <alignment/>
    </xf>
    <xf numFmtId="5" fontId="11" fillId="0" borderId="11" xfId="0" applyNumberFormat="1" applyFont="1" applyFill="1" applyBorder="1" applyAlignment="1">
      <alignment/>
    </xf>
    <xf numFmtId="5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5" fontId="11" fillId="0" borderId="0" xfId="0" applyNumberFormat="1" applyFont="1" applyFill="1" applyAlignment="1">
      <alignment/>
    </xf>
    <xf numFmtId="5" fontId="11" fillId="0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5" fontId="11" fillId="0" borderId="0" xfId="0" applyNumberFormat="1" applyFont="1" applyFill="1" applyAlignment="1">
      <alignment/>
    </xf>
    <xf numFmtId="5" fontId="11" fillId="0" borderId="13" xfId="0" applyNumberFormat="1" applyFont="1" applyFill="1" applyBorder="1" applyAlignment="1">
      <alignment/>
    </xf>
    <xf numFmtId="37" fontId="11" fillId="0" borderId="13" xfId="0" applyNumberFormat="1" applyFont="1" applyFill="1" applyBorder="1" applyAlignment="1">
      <alignment/>
    </xf>
    <xf numFmtId="5" fontId="11" fillId="0" borderId="15" xfId="0" applyNumberFormat="1" applyFont="1" applyFill="1" applyBorder="1" applyAlignment="1">
      <alignment/>
    </xf>
    <xf numFmtId="5" fontId="11" fillId="0" borderId="16" xfId="0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 quotePrefix="1">
      <alignment horizontal="center" vertical="center" wrapText="1"/>
    </xf>
    <xf numFmtId="37" fontId="14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80" fillId="0" borderId="0" xfId="0" applyNumberFormat="1" applyFont="1" applyFill="1" applyAlignment="1">
      <alignment/>
    </xf>
    <xf numFmtId="37" fontId="11" fillId="0" borderId="0" xfId="69" applyNumberFormat="1" applyFont="1" applyFill="1" applyAlignment="1">
      <alignment vertical="top"/>
      <protection/>
    </xf>
    <xf numFmtId="5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164" fontId="0" fillId="0" borderId="0" xfId="83" applyNumberFormat="1" applyFont="1" applyFill="1" applyAlignment="1">
      <alignment/>
    </xf>
    <xf numFmtId="0" fontId="13" fillId="0" borderId="0" xfId="73" applyFont="1">
      <alignment/>
      <protection/>
    </xf>
    <xf numFmtId="0" fontId="5" fillId="0" borderId="0" xfId="73" applyFont="1">
      <alignment/>
      <protection/>
    </xf>
    <xf numFmtId="0" fontId="5" fillId="0" borderId="0" xfId="73" applyFont="1" applyBorder="1">
      <alignment/>
      <protection/>
    </xf>
    <xf numFmtId="0" fontId="17" fillId="0" borderId="0" xfId="73" applyFont="1">
      <alignment/>
      <protection/>
    </xf>
    <xf numFmtId="37" fontId="4" fillId="0" borderId="0" xfId="73" applyNumberFormat="1" applyFont="1" applyFill="1" applyBorder="1" applyAlignment="1">
      <alignment horizontal="center" vertical="center"/>
      <protection/>
    </xf>
    <xf numFmtId="37" fontId="81" fillId="0" borderId="0" xfId="73" applyNumberFormat="1" applyFont="1" applyFill="1" applyBorder="1" applyAlignment="1">
      <alignment horizontal="center" vertical="center"/>
      <protection/>
    </xf>
    <xf numFmtId="37" fontId="4" fillId="0" borderId="0" xfId="73" applyNumberFormat="1" applyFont="1" applyFill="1" applyBorder="1" applyAlignment="1">
      <alignment horizontal="center" wrapText="1"/>
      <protection/>
    </xf>
    <xf numFmtId="0" fontId="4" fillId="0" borderId="0" xfId="73" applyFont="1" applyBorder="1" applyAlignment="1">
      <alignment horizontal="center" wrapText="1"/>
      <protection/>
    </xf>
    <xf numFmtId="37" fontId="17" fillId="0" borderId="0" xfId="73" applyNumberFormat="1" applyFont="1" applyFill="1" applyBorder="1" applyAlignment="1">
      <alignment horizontal="center" vertical="center" wrapText="1"/>
      <protection/>
    </xf>
    <xf numFmtId="5" fontId="5" fillId="0" borderId="0" xfId="73" applyNumberFormat="1" applyFont="1" applyFill="1" applyBorder="1">
      <alignment/>
      <protection/>
    </xf>
    <xf numFmtId="37" fontId="5" fillId="0" borderId="0" xfId="73" applyNumberFormat="1" applyFont="1" applyFill="1" applyBorder="1">
      <alignment/>
      <protection/>
    </xf>
    <xf numFmtId="166" fontId="5" fillId="0" borderId="0" xfId="48" applyNumberFormat="1" applyFont="1" applyBorder="1" applyAlignment="1">
      <alignment/>
    </xf>
    <xf numFmtId="166" fontId="5" fillId="0" borderId="17" xfId="48" applyNumberFormat="1" applyFont="1" applyBorder="1" applyAlignment="1">
      <alignment/>
    </xf>
    <xf numFmtId="5" fontId="4" fillId="0" borderId="0" xfId="73" applyNumberFormat="1" applyFont="1" applyFill="1" applyBorder="1">
      <alignment/>
      <protection/>
    </xf>
    <xf numFmtId="0" fontId="4" fillId="0" borderId="0" xfId="73" applyFont="1" applyBorder="1">
      <alignment/>
      <protection/>
    </xf>
    <xf numFmtId="37" fontId="82" fillId="0" borderId="0" xfId="0" applyNumberFormat="1" applyFont="1" applyFill="1" applyAlignment="1">
      <alignment/>
    </xf>
    <xf numFmtId="37" fontId="16" fillId="0" borderId="0" xfId="0" applyNumberFormat="1" applyFont="1" applyFill="1" applyAlignment="1" quotePrefix="1">
      <alignment horizontal="right"/>
    </xf>
    <xf numFmtId="0" fontId="83" fillId="0" borderId="0" xfId="73" applyFont="1">
      <alignment/>
      <protection/>
    </xf>
    <xf numFmtId="37" fontId="84" fillId="0" borderId="0" xfId="0" applyNumberFormat="1" applyFont="1" applyFill="1" applyAlignment="1">
      <alignment/>
    </xf>
    <xf numFmtId="37" fontId="85" fillId="0" borderId="0" xfId="0" applyNumberFormat="1" applyFont="1" applyFill="1" applyAlignment="1">
      <alignment horizontal="left" vertical="top" wrapText="1"/>
    </xf>
    <xf numFmtId="37" fontId="0" fillId="0" borderId="10" xfId="0" applyNumberFormat="1" applyFont="1" applyFill="1" applyBorder="1" applyAlignment="1">
      <alignment vertical="center"/>
    </xf>
    <xf numFmtId="167" fontId="4" fillId="0" borderId="0" xfId="73" applyNumberFormat="1" applyFont="1" applyBorder="1" applyAlignment="1">
      <alignment horizontal="right" wrapText="1"/>
      <protection/>
    </xf>
    <xf numFmtId="37" fontId="4" fillId="0" borderId="0" xfId="70" applyNumberFormat="1" applyFont="1" applyFill="1" applyBorder="1" applyAlignment="1">
      <alignment horizontal="center" vertical="center"/>
      <protection/>
    </xf>
    <xf numFmtId="37" fontId="0" fillId="0" borderId="10" xfId="0" applyNumberFormat="1" applyFont="1" applyFill="1" applyBorder="1" applyAlignment="1">
      <alignment horizontal="center" wrapText="1"/>
    </xf>
    <xf numFmtId="0" fontId="82" fillId="0" borderId="0" xfId="70" applyFont="1" applyFill="1" applyBorder="1" applyAlignment="1">
      <alignment/>
      <protection/>
    </xf>
    <xf numFmtId="0" fontId="86" fillId="0" borderId="0" xfId="70" applyFont="1" applyFill="1" applyBorder="1">
      <alignment/>
      <protection/>
    </xf>
    <xf numFmtId="0" fontId="86" fillId="0" borderId="0" xfId="70" applyFont="1" applyFill="1" applyBorder="1" applyAlignment="1">
      <alignment horizontal="center"/>
      <protection/>
    </xf>
    <xf numFmtId="37" fontId="87" fillId="0" borderId="0" xfId="70" applyNumberFormat="1" applyFont="1" applyFill="1" applyBorder="1" applyAlignment="1">
      <alignment horizontal="center"/>
      <protection/>
    </xf>
    <xf numFmtId="0" fontId="86" fillId="0" borderId="18" xfId="70" applyFont="1" applyFill="1" applyBorder="1">
      <alignment/>
      <protection/>
    </xf>
    <xf numFmtId="0" fontId="86" fillId="0" borderId="19" xfId="70" applyFont="1" applyFill="1" applyBorder="1">
      <alignment/>
      <protection/>
    </xf>
    <xf numFmtId="0" fontId="86" fillId="0" borderId="19" xfId="70" applyFont="1" applyFill="1" applyBorder="1" applyAlignment="1" quotePrefix="1">
      <alignment horizontal="centerContinuous"/>
      <protection/>
    </xf>
    <xf numFmtId="0" fontId="86" fillId="0" borderId="20" xfId="70" applyFont="1" applyFill="1" applyBorder="1" applyAlignment="1">
      <alignment horizontal="center" wrapText="1"/>
      <protection/>
    </xf>
    <xf numFmtId="0" fontId="85" fillId="0" borderId="10" xfId="70" applyFont="1" applyFill="1" applyBorder="1" applyAlignment="1">
      <alignment/>
      <protection/>
    </xf>
    <xf numFmtId="0" fontId="85" fillId="0" borderId="10" xfId="70" applyFont="1" applyFill="1" applyBorder="1" applyAlignment="1" quotePrefix="1">
      <alignment horizontal="centerContinuous" wrapText="1"/>
      <protection/>
    </xf>
    <xf numFmtId="0" fontId="85" fillId="0" borderId="21" xfId="70" applyFont="1" applyFill="1" applyBorder="1" applyAlignment="1" quotePrefix="1">
      <alignment horizontal="centerContinuous" wrapText="1"/>
      <protection/>
    </xf>
    <xf numFmtId="0" fontId="86" fillId="0" borderId="0" xfId="70" applyFont="1" applyFill="1" applyBorder="1" applyAlignment="1">
      <alignment/>
      <protection/>
    </xf>
    <xf numFmtId="0" fontId="85" fillId="0" borderId="0" xfId="70" applyFont="1" applyFill="1" applyBorder="1" applyAlignment="1">
      <alignment/>
      <protection/>
    </xf>
    <xf numFmtId="0" fontId="85" fillId="0" borderId="0" xfId="70" applyFont="1" applyFill="1" applyBorder="1">
      <alignment/>
      <protection/>
    </xf>
    <xf numFmtId="0" fontId="85" fillId="0" borderId="0" xfId="70" applyFont="1" applyFill="1" applyBorder="1" applyAlignment="1">
      <alignment horizontal="center"/>
      <protection/>
    </xf>
    <xf numFmtId="0" fontId="85" fillId="0" borderId="22" xfId="70" applyFont="1" applyFill="1" applyBorder="1" applyAlignment="1">
      <alignment horizontal="center"/>
      <protection/>
    </xf>
    <xf numFmtId="0" fontId="85" fillId="0" borderId="23" xfId="70" applyFont="1" applyFill="1" applyBorder="1" applyAlignment="1">
      <alignment horizontal="center"/>
      <protection/>
    </xf>
    <xf numFmtId="0" fontId="86" fillId="0" borderId="23" xfId="70" applyFont="1" applyFill="1" applyBorder="1">
      <alignment/>
      <protection/>
    </xf>
    <xf numFmtId="0" fontId="85" fillId="0" borderId="22" xfId="70" applyFont="1" applyFill="1" applyBorder="1">
      <alignment/>
      <protection/>
    </xf>
    <xf numFmtId="0" fontId="85" fillId="0" borderId="22" xfId="70" applyFont="1" applyFill="1" applyBorder="1" applyAlignment="1" quotePrefix="1">
      <alignment horizontal="center"/>
      <protection/>
    </xf>
    <xf numFmtId="165" fontId="85" fillId="0" borderId="22" xfId="70" applyNumberFormat="1" applyFont="1" applyFill="1" applyBorder="1">
      <alignment/>
      <protection/>
    </xf>
    <xf numFmtId="168" fontId="85" fillId="0" borderId="0" xfId="70" applyNumberFormat="1" applyFont="1" applyFill="1" applyBorder="1" applyAlignment="1">
      <alignment horizontal="center"/>
      <protection/>
    </xf>
    <xf numFmtId="168" fontId="85" fillId="0" borderId="23" xfId="70" applyNumberFormat="1" applyFont="1" applyFill="1" applyBorder="1" applyAlignment="1">
      <alignment horizontal="center"/>
      <protection/>
    </xf>
    <xf numFmtId="169" fontId="85" fillId="0" borderId="23" xfId="70" applyNumberFormat="1" applyFont="1" applyFill="1" applyBorder="1" applyAlignment="1">
      <alignment horizontal="center"/>
      <protection/>
    </xf>
    <xf numFmtId="5" fontId="85" fillId="0" borderId="22" xfId="70" applyNumberFormat="1" applyFont="1" applyFill="1" applyBorder="1">
      <alignment/>
      <protection/>
    </xf>
    <xf numFmtId="169" fontId="85" fillId="0" borderId="0" xfId="70" applyNumberFormat="1" applyFont="1" applyFill="1" applyBorder="1" applyAlignment="1">
      <alignment horizontal="center"/>
      <protection/>
    </xf>
    <xf numFmtId="169" fontId="85" fillId="0" borderId="22" xfId="70" applyNumberFormat="1" applyFont="1" applyFill="1" applyBorder="1" applyAlignment="1">
      <alignment horizontal="center"/>
      <protection/>
    </xf>
    <xf numFmtId="5" fontId="87" fillId="0" borderId="0" xfId="70" applyNumberFormat="1" applyFont="1" applyFill="1" applyBorder="1">
      <alignment/>
      <protection/>
    </xf>
    <xf numFmtId="37" fontId="85" fillId="0" borderId="0" xfId="70" applyNumberFormat="1" applyFont="1" applyFill="1" applyBorder="1">
      <alignment/>
      <protection/>
    </xf>
    <xf numFmtId="5" fontId="85" fillId="0" borderId="0" xfId="70" applyNumberFormat="1" applyFont="1" applyFill="1" applyBorder="1">
      <alignment/>
      <protection/>
    </xf>
    <xf numFmtId="37" fontId="87" fillId="0" borderId="0" xfId="70" applyNumberFormat="1" applyFont="1" applyFill="1" applyBorder="1">
      <alignment/>
      <protection/>
    </xf>
    <xf numFmtId="3" fontId="85" fillId="0" borderId="0" xfId="70" applyNumberFormat="1" applyFont="1" applyFill="1" applyBorder="1">
      <alignment/>
      <protection/>
    </xf>
    <xf numFmtId="170" fontId="85" fillId="0" borderId="0" xfId="70" applyNumberFormat="1" applyFont="1" applyFill="1" applyBorder="1">
      <alignment/>
      <protection/>
    </xf>
    <xf numFmtId="3" fontId="85" fillId="0" borderId="23" xfId="70" applyNumberFormat="1" applyFont="1" applyFill="1" applyBorder="1" applyAlignment="1">
      <alignment horizontal="center"/>
      <protection/>
    </xf>
    <xf numFmtId="3" fontId="85" fillId="0" borderId="22" xfId="70" applyNumberFormat="1" applyFont="1" applyFill="1" applyBorder="1">
      <alignment/>
      <protection/>
    </xf>
    <xf numFmtId="3" fontId="85" fillId="0" borderId="0" xfId="70" applyNumberFormat="1" applyFont="1" applyFill="1" applyBorder="1" applyAlignment="1">
      <alignment horizontal="center"/>
      <protection/>
    </xf>
    <xf numFmtId="3" fontId="85" fillId="0" borderId="22" xfId="70" applyNumberFormat="1" applyFont="1" applyFill="1" applyBorder="1" applyAlignment="1">
      <alignment horizontal="center"/>
      <protection/>
    </xf>
    <xf numFmtId="0" fontId="85" fillId="0" borderId="24" xfId="70" applyFont="1" applyFill="1" applyBorder="1" applyAlignment="1">
      <alignment horizontal="center"/>
      <protection/>
    </xf>
    <xf numFmtId="0" fontId="85" fillId="0" borderId="17" xfId="70" applyFont="1" applyFill="1" applyBorder="1">
      <alignment/>
      <protection/>
    </xf>
    <xf numFmtId="10" fontId="85" fillId="0" borderId="17" xfId="70" applyNumberFormat="1" applyFont="1" applyFill="1" applyBorder="1" applyAlignment="1">
      <alignment horizontal="center"/>
      <protection/>
    </xf>
    <xf numFmtId="165" fontId="85" fillId="0" borderId="24" xfId="70" applyNumberFormat="1" applyFont="1" applyFill="1" applyBorder="1">
      <alignment/>
      <protection/>
    </xf>
    <xf numFmtId="10" fontId="85" fillId="0" borderId="25" xfId="70" applyNumberFormat="1" applyFont="1" applyFill="1" applyBorder="1" applyAlignment="1">
      <alignment horizontal="center"/>
      <protection/>
    </xf>
    <xf numFmtId="10" fontId="85" fillId="0" borderId="24" xfId="70" applyNumberFormat="1" applyFont="1" applyFill="1" applyBorder="1" applyAlignment="1">
      <alignment horizontal="center"/>
      <protection/>
    </xf>
    <xf numFmtId="5" fontId="87" fillId="0" borderId="17" xfId="57" applyNumberFormat="1" applyFont="1" applyFill="1" applyBorder="1" applyAlignment="1">
      <alignment/>
    </xf>
    <xf numFmtId="0" fontId="86" fillId="0" borderId="25" xfId="70" applyFont="1" applyFill="1" applyBorder="1">
      <alignment/>
      <protection/>
    </xf>
    <xf numFmtId="5" fontId="85" fillId="0" borderId="0" xfId="57" applyNumberFormat="1" applyFont="1" applyFill="1" applyBorder="1" applyAlignment="1">
      <alignment/>
    </xf>
    <xf numFmtId="5" fontId="86" fillId="0" borderId="0" xfId="70" applyNumberFormat="1" applyFont="1" applyFill="1" applyBorder="1">
      <alignment/>
      <protection/>
    </xf>
    <xf numFmtId="3" fontId="86" fillId="0" borderId="0" xfId="70" applyNumberFormat="1" applyFont="1" applyFill="1" applyBorder="1">
      <alignment/>
      <protection/>
    </xf>
    <xf numFmtId="3" fontId="86" fillId="0" borderId="0" xfId="70" applyNumberFormat="1" applyFont="1" applyFill="1" applyBorder="1" applyAlignment="1">
      <alignment horizontal="center"/>
      <protection/>
    </xf>
    <xf numFmtId="0" fontId="88" fillId="0" borderId="0" xfId="70" applyFont="1" applyFill="1" applyBorder="1" applyAlignment="1">
      <alignment vertical="top"/>
      <protection/>
    </xf>
    <xf numFmtId="165" fontId="86" fillId="0" borderId="0" xfId="70" applyNumberFormat="1" applyFont="1" applyFill="1" applyBorder="1">
      <alignment/>
      <protection/>
    </xf>
    <xf numFmtId="37" fontId="2" fillId="0" borderId="19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center" wrapText="1"/>
    </xf>
    <xf numFmtId="0" fontId="85" fillId="0" borderId="0" xfId="70" applyFont="1" applyFill="1" applyBorder="1" applyAlignment="1">
      <alignment horizontal="center" wrapText="1"/>
      <protection/>
    </xf>
    <xf numFmtId="37" fontId="11" fillId="0" borderId="26" xfId="75" applyNumberFormat="1" applyFont="1" applyFill="1" applyBorder="1">
      <alignment/>
      <protection/>
    </xf>
    <xf numFmtId="0" fontId="82" fillId="0" borderId="0" xfId="75" applyFont="1" applyFill="1" applyBorder="1">
      <alignment/>
      <protection/>
    </xf>
    <xf numFmtId="5" fontId="11" fillId="0" borderId="0" xfId="75" applyNumberFormat="1" applyFont="1" applyFill="1" applyBorder="1">
      <alignment/>
      <protection/>
    </xf>
    <xf numFmtId="37" fontId="11" fillId="0" borderId="0" xfId="75" applyNumberFormat="1" applyFont="1" applyFill="1" applyBorder="1">
      <alignment/>
      <protection/>
    </xf>
    <xf numFmtId="37" fontId="11" fillId="0" borderId="27" xfId="75" applyNumberFormat="1" applyFont="1" applyFill="1" applyBorder="1">
      <alignment/>
      <protection/>
    </xf>
    <xf numFmtId="5" fontId="11" fillId="0" borderId="11" xfId="75" applyNumberFormat="1" applyFont="1" applyFill="1" applyBorder="1">
      <alignment/>
      <protection/>
    </xf>
    <xf numFmtId="5" fontId="11" fillId="0" borderId="28" xfId="75" applyNumberFormat="1" applyFont="1" applyFill="1" applyBorder="1">
      <alignment/>
      <protection/>
    </xf>
    <xf numFmtId="5" fontId="11" fillId="0" borderId="29" xfId="75" applyNumberFormat="1" applyFont="1" applyFill="1" applyBorder="1">
      <alignment/>
      <protection/>
    </xf>
    <xf numFmtId="5" fontId="11" fillId="0" borderId="27" xfId="75" applyNumberFormat="1" applyFont="1" applyFill="1" applyBorder="1">
      <alignment/>
      <protection/>
    </xf>
    <xf numFmtId="5" fontId="11" fillId="0" borderId="26" xfId="75" applyNumberFormat="1" applyFont="1" applyFill="1" applyBorder="1">
      <alignment/>
      <protection/>
    </xf>
    <xf numFmtId="5" fontId="10" fillId="0" borderId="12" xfId="75" applyNumberFormat="1" applyFont="1" applyFill="1" applyBorder="1">
      <alignment/>
      <protection/>
    </xf>
    <xf numFmtId="5" fontId="10" fillId="0" borderId="30" xfId="75" applyNumberFormat="1" applyFont="1" applyFill="1" applyBorder="1">
      <alignment/>
      <protection/>
    </xf>
    <xf numFmtId="5" fontId="10" fillId="0" borderId="31" xfId="75" applyNumberFormat="1" applyFont="1" applyFill="1" applyBorder="1">
      <alignment/>
      <protection/>
    </xf>
    <xf numFmtId="5" fontId="10" fillId="0" borderId="10" xfId="75" applyNumberFormat="1" applyFont="1" applyFill="1" applyBorder="1">
      <alignment/>
      <protection/>
    </xf>
    <xf numFmtId="37" fontId="4" fillId="0" borderId="14" xfId="73" applyNumberFormat="1" applyFont="1" applyFill="1" applyBorder="1" applyAlignment="1">
      <alignment horizontal="center" wrapText="1"/>
      <protection/>
    </xf>
    <xf numFmtId="0" fontId="5" fillId="0" borderId="13" xfId="73" applyFont="1" applyBorder="1">
      <alignment/>
      <protection/>
    </xf>
    <xf numFmtId="5" fontId="4" fillId="0" borderId="32" xfId="73" applyNumberFormat="1" applyFont="1" applyFill="1" applyBorder="1">
      <alignment/>
      <protection/>
    </xf>
    <xf numFmtId="165" fontId="85" fillId="0" borderId="22" xfId="75" applyNumberFormat="1" applyFont="1" applyBorder="1">
      <alignment/>
      <protection/>
    </xf>
    <xf numFmtId="37" fontId="4" fillId="0" borderId="0" xfId="79" applyNumberFormat="1" applyFont="1" applyFill="1">
      <alignment/>
      <protection/>
    </xf>
    <xf numFmtId="37" fontId="0" fillId="0" borderId="0" xfId="79" applyNumberFormat="1" applyFont="1" applyFill="1">
      <alignment/>
      <protection/>
    </xf>
    <xf numFmtId="37" fontId="2" fillId="0" borderId="0" xfId="79" applyNumberFormat="1" applyFont="1" applyFill="1">
      <alignment/>
      <protection/>
    </xf>
    <xf numFmtId="37" fontId="0" fillId="0" borderId="0" xfId="79" applyNumberFormat="1" applyFill="1">
      <alignment/>
      <protection/>
    </xf>
    <xf numFmtId="37" fontId="4" fillId="0" borderId="0" xfId="79" applyNumberFormat="1" applyFont="1" applyFill="1" applyBorder="1">
      <alignment/>
      <protection/>
    </xf>
    <xf numFmtId="37" fontId="0" fillId="0" borderId="0" xfId="79" applyNumberFormat="1" applyFont="1" applyFill="1" applyBorder="1">
      <alignment/>
      <protection/>
    </xf>
    <xf numFmtId="37" fontId="2" fillId="0" borderId="0" xfId="79" applyNumberFormat="1" applyFont="1" applyFill="1" applyBorder="1">
      <alignment/>
      <protection/>
    </xf>
    <xf numFmtId="37" fontId="11" fillId="0" borderId="0" xfId="79" applyNumberFormat="1" applyFont="1" applyFill="1" applyBorder="1">
      <alignment/>
      <protection/>
    </xf>
    <xf numFmtId="37" fontId="10" fillId="0" borderId="0" xfId="79" applyNumberFormat="1" applyFont="1" applyFill="1" applyBorder="1">
      <alignment/>
      <protection/>
    </xf>
    <xf numFmtId="37" fontId="0" fillId="0" borderId="0" xfId="79" applyNumberFormat="1" applyFill="1" applyBorder="1">
      <alignment/>
      <protection/>
    </xf>
    <xf numFmtId="37" fontId="10" fillId="0" borderId="0" xfId="79" applyNumberFormat="1" applyFont="1" applyFill="1" applyBorder="1" applyAlignment="1">
      <alignment horizontal="center" vertical="center" wrapText="1"/>
      <protection/>
    </xf>
    <xf numFmtId="37" fontId="10" fillId="0" borderId="0" xfId="79" applyNumberFormat="1" applyFont="1" applyFill="1" applyBorder="1" applyAlignment="1">
      <alignment horizontal="center" vertical="center"/>
      <protection/>
    </xf>
    <xf numFmtId="37" fontId="10" fillId="0" borderId="0" xfId="79" applyNumberFormat="1" applyFont="1" applyFill="1" applyBorder="1" applyAlignment="1">
      <alignment vertical="center"/>
      <protection/>
    </xf>
    <xf numFmtId="37" fontId="0" fillId="0" borderId="0" xfId="79" applyNumberFormat="1" applyFill="1" applyBorder="1" applyAlignment="1">
      <alignment vertical="center"/>
      <protection/>
    </xf>
    <xf numFmtId="37" fontId="0" fillId="0" borderId="0" xfId="79" applyNumberFormat="1" applyFill="1" applyAlignment="1">
      <alignment vertical="center"/>
      <protection/>
    </xf>
    <xf numFmtId="37" fontId="10" fillId="0" borderId="0" xfId="79" applyNumberFormat="1" applyFont="1" applyFill="1" applyBorder="1" applyAlignment="1">
      <alignment horizontal="center" wrapText="1"/>
      <protection/>
    </xf>
    <xf numFmtId="37" fontId="0" fillId="0" borderId="22" xfId="79" applyNumberFormat="1" applyFill="1" applyBorder="1" applyAlignment="1">
      <alignment horizontal="center" wrapText="1"/>
      <protection/>
    </xf>
    <xf numFmtId="37" fontId="0" fillId="0" borderId="0" xfId="79" applyNumberFormat="1" applyFill="1" applyAlignment="1">
      <alignment horizontal="center" wrapText="1"/>
      <protection/>
    </xf>
    <xf numFmtId="37" fontId="32" fillId="0" borderId="13" xfId="79" applyNumberFormat="1" applyFont="1" applyFill="1" applyBorder="1">
      <alignment/>
      <protection/>
    </xf>
    <xf numFmtId="37" fontId="32" fillId="0" borderId="0" xfId="79" applyNumberFormat="1" applyFont="1" applyFill="1" applyBorder="1">
      <alignment/>
      <protection/>
    </xf>
    <xf numFmtId="37" fontId="9" fillId="0" borderId="22" xfId="79" applyNumberFormat="1" applyFont="1" applyFill="1" applyBorder="1">
      <alignment/>
      <protection/>
    </xf>
    <xf numFmtId="37" fontId="9" fillId="0" borderId="0" xfId="79" applyNumberFormat="1" applyFont="1" applyFill="1">
      <alignment/>
      <protection/>
    </xf>
    <xf numFmtId="37" fontId="32" fillId="0" borderId="22" xfId="79" applyNumberFormat="1" applyFont="1" applyFill="1" applyBorder="1">
      <alignment/>
      <protection/>
    </xf>
    <xf numFmtId="37" fontId="11" fillId="0" borderId="13" xfId="79" applyNumberFormat="1" applyFont="1" applyFill="1" applyBorder="1">
      <alignment/>
      <protection/>
    </xf>
    <xf numFmtId="37" fontId="11" fillId="0" borderId="22" xfId="79" applyNumberFormat="1" applyFont="1" applyFill="1" applyBorder="1">
      <alignment/>
      <protection/>
    </xf>
    <xf numFmtId="37" fontId="0" fillId="0" borderId="22" xfId="79" applyNumberFormat="1" applyFill="1" applyBorder="1">
      <alignment/>
      <protection/>
    </xf>
    <xf numFmtId="37" fontId="11" fillId="0" borderId="33" xfId="79" applyNumberFormat="1" applyFont="1" applyFill="1" applyBorder="1">
      <alignment/>
      <protection/>
    </xf>
    <xf numFmtId="37" fontId="11" fillId="0" borderId="34" xfId="79" applyNumberFormat="1" applyFont="1" applyFill="1" applyBorder="1">
      <alignment/>
      <protection/>
    </xf>
    <xf numFmtId="37" fontId="2" fillId="0" borderId="22" xfId="79" applyNumberFormat="1" applyFont="1" applyFill="1" applyBorder="1">
      <alignment/>
      <protection/>
    </xf>
    <xf numFmtId="37" fontId="11" fillId="0" borderId="16" xfId="79" applyNumberFormat="1" applyFont="1" applyFill="1" applyBorder="1">
      <alignment/>
      <protection/>
    </xf>
    <xf numFmtId="37" fontId="11" fillId="0" borderId="12" xfId="79" applyNumberFormat="1" applyFont="1" applyFill="1" applyBorder="1">
      <alignment/>
      <protection/>
    </xf>
    <xf numFmtId="37" fontId="11" fillId="0" borderId="35" xfId="79" applyNumberFormat="1" applyFont="1" applyFill="1" applyBorder="1">
      <alignment/>
      <protection/>
    </xf>
    <xf numFmtId="37" fontId="3" fillId="0" borderId="0" xfId="79" applyNumberFormat="1" applyFont="1" applyFill="1">
      <alignment/>
      <protection/>
    </xf>
    <xf numFmtId="37" fontId="11" fillId="0" borderId="0" xfId="79" applyNumberFormat="1" applyFont="1" applyFill="1" applyBorder="1" applyAlignment="1">
      <alignment vertical="center"/>
      <protection/>
    </xf>
    <xf numFmtId="37" fontId="11" fillId="0" borderId="0" xfId="79" applyNumberFormat="1" applyFont="1" applyFill="1" applyBorder="1" applyAlignment="1">
      <alignment horizontal="center" wrapText="1"/>
      <protection/>
    </xf>
    <xf numFmtId="0" fontId="11" fillId="0" borderId="0" xfId="75" applyFont="1" applyFill="1">
      <alignment/>
      <protection/>
    </xf>
    <xf numFmtId="7" fontId="11" fillId="0" borderId="0" xfId="75" applyNumberFormat="1" applyFont="1" applyFill="1">
      <alignment/>
      <protection/>
    </xf>
    <xf numFmtId="0" fontId="11" fillId="0" borderId="0" xfId="75" applyFont="1" applyFill="1" applyAlignment="1">
      <alignment vertical="center"/>
      <protection/>
    </xf>
    <xf numFmtId="5" fontId="11" fillId="0" borderId="0" xfId="75" applyNumberFormat="1" applyFont="1" applyFill="1" applyAlignment="1">
      <alignment vertical="center"/>
      <protection/>
    </xf>
    <xf numFmtId="7" fontId="11" fillId="0" borderId="0" xfId="75" applyNumberFormat="1" applyFont="1" applyFill="1" applyAlignment="1">
      <alignment vertical="center"/>
      <protection/>
    </xf>
    <xf numFmtId="0" fontId="11" fillId="0" borderId="0" xfId="75" applyFont="1" applyFill="1" applyAlignment="1">
      <alignment horizontal="center"/>
      <protection/>
    </xf>
    <xf numFmtId="5" fontId="11" fillId="0" borderId="0" xfId="75" applyNumberFormat="1" applyFont="1" applyFill="1">
      <alignment/>
      <protection/>
    </xf>
    <xf numFmtId="5" fontId="10" fillId="0" borderId="36" xfId="75" applyNumberFormat="1" applyFont="1" applyFill="1" applyBorder="1">
      <alignment/>
      <protection/>
    </xf>
    <xf numFmtId="37" fontId="11" fillId="0" borderId="0" xfId="75" applyNumberFormat="1" applyFont="1" applyFill="1">
      <alignment/>
      <protection/>
    </xf>
    <xf numFmtId="0" fontId="11" fillId="0" borderId="27" xfId="75" applyFont="1" applyFill="1" applyBorder="1">
      <alignment/>
      <protection/>
    </xf>
    <xf numFmtId="0" fontId="11" fillId="0" borderId="27" xfId="75" applyFont="1" applyFill="1" applyBorder="1" applyAlignment="1">
      <alignment horizontal="center" wrapText="1"/>
      <protection/>
    </xf>
    <xf numFmtId="0" fontId="11" fillId="0" borderId="0" xfId="75" applyFont="1" applyFill="1" applyBorder="1" applyAlignment="1">
      <alignment horizontal="center" wrapText="1"/>
      <protection/>
    </xf>
    <xf numFmtId="0" fontId="11" fillId="0" borderId="26" xfId="75" applyFont="1" applyFill="1" applyBorder="1" applyAlignment="1">
      <alignment horizontal="center" wrapText="1"/>
      <protection/>
    </xf>
    <xf numFmtId="0" fontId="4" fillId="0" borderId="0" xfId="75" applyFont="1" applyFill="1" applyBorder="1" applyAlignment="1">
      <alignment horizontal="right"/>
      <protection/>
    </xf>
    <xf numFmtId="0" fontId="10" fillId="0" borderId="0" xfId="75" applyFont="1" applyFill="1" applyBorder="1">
      <alignment/>
      <protection/>
    </xf>
    <xf numFmtId="0" fontId="34" fillId="0" borderId="0" xfId="73" applyFont="1" applyFill="1">
      <alignment/>
      <protection/>
    </xf>
    <xf numFmtId="0" fontId="10" fillId="0" borderId="0" xfId="75" applyFont="1" applyFill="1" applyBorder="1" applyAlignment="1">
      <alignment horizontal="right"/>
      <protection/>
    </xf>
    <xf numFmtId="0" fontId="11" fillId="0" borderId="0" xfId="75" applyFont="1" applyFill="1" applyBorder="1">
      <alignment/>
      <protection/>
    </xf>
    <xf numFmtId="0" fontId="89" fillId="0" borderId="0" xfId="70" applyFont="1" applyFill="1" applyBorder="1">
      <alignment/>
      <protection/>
    </xf>
    <xf numFmtId="37" fontId="2" fillId="0" borderId="19" xfId="0" applyNumberFormat="1" applyFont="1" applyFill="1" applyBorder="1" applyAlignment="1">
      <alignment horizontal="center"/>
    </xf>
    <xf numFmtId="37" fontId="82" fillId="0" borderId="0" xfId="70" applyNumberFormat="1" applyFont="1" applyFill="1" applyAlignment="1">
      <alignment horizontal="left"/>
      <protection/>
    </xf>
    <xf numFmtId="37" fontId="67" fillId="0" borderId="0" xfId="70" applyNumberFormat="1" applyFont="1" applyFill="1" applyAlignment="1">
      <alignment horizontal="left"/>
      <protection/>
    </xf>
    <xf numFmtId="37" fontId="11" fillId="0" borderId="0" xfId="70" applyNumberFormat="1" applyFont="1" applyFill="1" applyAlignment="1">
      <alignment/>
      <protection/>
    </xf>
    <xf numFmtId="37" fontId="90" fillId="0" borderId="0" xfId="0" applyNumberFormat="1" applyFont="1" applyFill="1" applyAlignment="1">
      <alignment horizontal="center" vertical="center" wrapText="1"/>
    </xf>
    <xf numFmtId="37" fontId="85" fillId="0" borderId="0" xfId="74" applyNumberFormat="1" applyFont="1" applyFill="1">
      <alignment/>
      <protection/>
    </xf>
    <xf numFmtId="5" fontId="85" fillId="0" borderId="11" xfId="52" applyNumberFormat="1" applyFont="1" applyFill="1" applyBorder="1" applyAlignment="1">
      <alignment/>
    </xf>
    <xf numFmtId="5" fontId="85" fillId="0" borderId="12" xfId="52" applyNumberFormat="1" applyFont="1" applyFill="1" applyBorder="1" applyAlignment="1">
      <alignment/>
    </xf>
    <xf numFmtId="37" fontId="11" fillId="0" borderId="17" xfId="79" applyNumberFormat="1" applyFont="1" applyFill="1" applyBorder="1">
      <alignment/>
      <protection/>
    </xf>
    <xf numFmtId="37" fontId="11" fillId="0" borderId="32" xfId="79" applyNumberFormat="1" applyFont="1" applyFill="1" applyBorder="1">
      <alignment/>
      <protection/>
    </xf>
    <xf numFmtId="37" fontId="11" fillId="0" borderId="10" xfId="79" applyNumberFormat="1" applyFont="1" applyFill="1" applyBorder="1">
      <alignment/>
      <protection/>
    </xf>
    <xf numFmtId="37" fontId="11" fillId="0" borderId="24" xfId="79" applyNumberFormat="1" applyFont="1" applyFill="1" applyBorder="1">
      <alignment/>
      <protection/>
    </xf>
    <xf numFmtId="37" fontId="87" fillId="0" borderId="0" xfId="74" applyNumberFormat="1" applyFont="1" applyFill="1">
      <alignment/>
      <protection/>
    </xf>
    <xf numFmtId="37" fontId="87" fillId="0" borderId="0" xfId="74" applyNumberFormat="1" applyFont="1" applyFill="1" applyAlignment="1">
      <alignment horizontal="center"/>
      <protection/>
    </xf>
    <xf numFmtId="37" fontId="91" fillId="0" borderId="0" xfId="52" applyNumberFormat="1" applyFont="1" applyFill="1" applyBorder="1" applyAlignment="1" quotePrefix="1">
      <alignment horizontal="center"/>
    </xf>
    <xf numFmtId="37" fontId="85" fillId="0" borderId="0" xfId="52" applyNumberFormat="1" applyFont="1" applyFill="1" applyBorder="1" applyAlignment="1">
      <alignment/>
    </xf>
    <xf numFmtId="5" fontId="85" fillId="0" borderId="0" xfId="52" applyNumberFormat="1" applyFont="1" applyFill="1" applyBorder="1" applyAlignment="1">
      <alignment/>
    </xf>
    <xf numFmtId="37" fontId="85" fillId="0" borderId="11" xfId="74" applyNumberFormat="1" applyFont="1" applyFill="1" applyBorder="1">
      <alignment/>
      <protection/>
    </xf>
    <xf numFmtId="37" fontId="85" fillId="0" borderId="12" xfId="74" applyNumberFormat="1" applyFont="1" applyFill="1" applyBorder="1">
      <alignment/>
      <protection/>
    </xf>
    <xf numFmtId="37" fontId="11" fillId="0" borderId="0" xfId="70" applyNumberFormat="1" applyFont="1" applyFill="1" applyBorder="1" applyAlignment="1">
      <alignment/>
      <protection/>
    </xf>
    <xf numFmtId="37" fontId="85" fillId="0" borderId="0" xfId="74" applyNumberFormat="1" applyFont="1" applyFill="1" applyBorder="1">
      <alignment/>
      <protection/>
    </xf>
    <xf numFmtId="37" fontId="67" fillId="0" borderId="0" xfId="74" applyNumberFormat="1" applyFont="1" applyFill="1">
      <alignment/>
      <protection/>
    </xf>
    <xf numFmtId="37" fontId="67" fillId="0" borderId="0" xfId="74" applyNumberFormat="1" applyFont="1" applyFill="1" applyBorder="1">
      <alignment/>
      <protection/>
    </xf>
    <xf numFmtId="37" fontId="67" fillId="0" borderId="0" xfId="52" applyNumberFormat="1" applyFont="1" applyFill="1" applyAlignment="1">
      <alignment/>
    </xf>
    <xf numFmtId="37" fontId="92" fillId="0" borderId="0" xfId="74" applyNumberFormat="1" applyFont="1" applyFill="1" applyBorder="1">
      <alignment/>
      <protection/>
    </xf>
    <xf numFmtId="5" fontId="10" fillId="0" borderId="37" xfId="75" applyNumberFormat="1" applyFont="1" applyFill="1" applyBorder="1">
      <alignment/>
      <protection/>
    </xf>
    <xf numFmtId="0" fontId="0" fillId="0" borderId="0" xfId="75" applyFont="1" applyFill="1">
      <alignment/>
      <protection/>
    </xf>
    <xf numFmtId="0" fontId="0" fillId="0" borderId="0" xfId="75" applyFont="1" applyFill="1" applyAlignment="1">
      <alignment horizontal="center"/>
      <protection/>
    </xf>
    <xf numFmtId="7" fontId="0" fillId="0" borderId="0" xfId="75" applyNumberFormat="1" applyFont="1" applyFill="1" applyAlignment="1">
      <alignment horizontal="center"/>
      <protection/>
    </xf>
    <xf numFmtId="37" fontId="11" fillId="0" borderId="38" xfId="75" applyNumberFormat="1" applyFont="1" applyFill="1" applyBorder="1">
      <alignment/>
      <protection/>
    </xf>
    <xf numFmtId="37" fontId="11" fillId="0" borderId="17" xfId="75" applyNumberFormat="1" applyFont="1" applyFill="1" applyBorder="1">
      <alignment/>
      <protection/>
    </xf>
    <xf numFmtId="37" fontId="11" fillId="0" borderId="39" xfId="75" applyNumberFormat="1" applyFont="1" applyFill="1" applyBorder="1">
      <alignment/>
      <protection/>
    </xf>
    <xf numFmtId="0" fontId="85" fillId="0" borderId="20" xfId="70" applyFont="1" applyFill="1" applyBorder="1" applyAlignment="1">
      <alignment horizontal="centerContinuous" wrapText="1"/>
      <protection/>
    </xf>
    <xf numFmtId="0" fontId="85" fillId="0" borderId="21" xfId="70" applyFont="1" applyFill="1" applyBorder="1" applyAlignment="1">
      <alignment horizontal="centerContinuous"/>
      <protection/>
    </xf>
    <xf numFmtId="0" fontId="87" fillId="0" borderId="22" xfId="70" applyFont="1" applyFill="1" applyBorder="1" applyAlignment="1" quotePrefix="1">
      <alignment wrapText="1"/>
      <protection/>
    </xf>
    <xf numFmtId="37" fontId="87" fillId="0" borderId="0" xfId="74" applyNumberFormat="1" applyFont="1" applyFill="1" applyBorder="1" applyAlignment="1">
      <alignment horizontal="center"/>
      <protection/>
    </xf>
    <xf numFmtId="37" fontId="85" fillId="0" borderId="23" xfId="52" applyNumberFormat="1" applyFont="1" applyFill="1" applyBorder="1" applyAlignment="1">
      <alignment horizontal="center" wrapText="1"/>
    </xf>
    <xf numFmtId="5" fontId="5" fillId="0" borderId="13" xfId="70" applyNumberFormat="1" applyFont="1" applyFill="1" applyBorder="1">
      <alignment/>
      <protection/>
    </xf>
    <xf numFmtId="166" fontId="5" fillId="0" borderId="13" xfId="51" applyNumberFormat="1" applyFont="1" applyBorder="1" applyAlignment="1">
      <alignment/>
    </xf>
    <xf numFmtId="166" fontId="5" fillId="0" borderId="32" xfId="51" applyNumberFormat="1" applyFont="1" applyBorder="1" applyAlignment="1">
      <alignment/>
    </xf>
    <xf numFmtId="43" fontId="5" fillId="0" borderId="0" xfId="45" applyFont="1" applyAlignment="1">
      <alignment/>
    </xf>
    <xf numFmtId="166" fontId="5" fillId="0" borderId="0" xfId="45" applyNumberFormat="1" applyFont="1" applyAlignment="1">
      <alignment/>
    </xf>
    <xf numFmtId="37" fontId="91" fillId="0" borderId="0" xfId="52" applyNumberFormat="1" applyFont="1" applyFill="1" applyBorder="1" applyAlignment="1">
      <alignment horizontal="center"/>
    </xf>
    <xf numFmtId="37" fontId="87" fillId="0" borderId="0" xfId="52" applyNumberFormat="1" applyFont="1" applyFill="1" applyBorder="1" applyAlignment="1">
      <alignment/>
    </xf>
    <xf numFmtId="37" fontId="67" fillId="0" borderId="0" xfId="52" applyNumberFormat="1" applyFont="1" applyFill="1" applyBorder="1" applyAlignment="1">
      <alignment/>
    </xf>
    <xf numFmtId="37" fontId="85" fillId="0" borderId="14" xfId="52" applyNumberFormat="1" applyFont="1" applyFill="1" applyBorder="1" applyAlignment="1">
      <alignment horizontal="center" wrapText="1"/>
    </xf>
    <xf numFmtId="37" fontId="6" fillId="0" borderId="23" xfId="0" applyNumberFormat="1" applyFont="1" applyFill="1" applyBorder="1" applyAlignment="1">
      <alignment horizontal="center" vertical="center" wrapText="1"/>
    </xf>
    <xf numFmtId="37" fontId="32" fillId="0" borderId="23" xfId="79" applyNumberFormat="1" applyFont="1" applyFill="1" applyBorder="1">
      <alignment/>
      <protection/>
    </xf>
    <xf numFmtId="37" fontId="11" fillId="0" borderId="23" xfId="79" applyNumberFormat="1" applyFont="1" applyFill="1" applyBorder="1">
      <alignment/>
      <protection/>
    </xf>
    <xf numFmtId="37" fontId="11" fillId="0" borderId="25" xfId="79" applyNumberFormat="1" applyFont="1" applyFill="1" applyBorder="1">
      <alignment/>
      <protection/>
    </xf>
    <xf numFmtId="37" fontId="11" fillId="0" borderId="40" xfId="79" applyNumberFormat="1" applyFont="1" applyFill="1" applyBorder="1">
      <alignment/>
      <protection/>
    </xf>
    <xf numFmtId="37" fontId="11" fillId="0" borderId="41" xfId="79" applyNumberFormat="1" applyFont="1" applyFill="1" applyBorder="1">
      <alignment/>
      <protection/>
    </xf>
    <xf numFmtId="37" fontId="86" fillId="0" borderId="0" xfId="70" applyNumberFormat="1" applyFont="1" applyFill="1" applyBorder="1">
      <alignment/>
      <protection/>
    </xf>
    <xf numFmtId="5" fontId="0" fillId="0" borderId="0" xfId="70" applyNumberFormat="1" applyFont="1">
      <alignment/>
      <protection/>
    </xf>
    <xf numFmtId="5" fontId="0" fillId="0" borderId="0" xfId="0" applyNumberFormat="1" applyFont="1" applyFill="1" applyAlignment="1">
      <alignment/>
    </xf>
    <xf numFmtId="37" fontId="0" fillId="0" borderId="0" xfId="70" applyNumberFormat="1" applyFont="1">
      <alignment/>
      <protection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 locked="0"/>
    </xf>
    <xf numFmtId="0" fontId="8" fillId="0" borderId="0" xfId="75" applyFont="1" applyFill="1">
      <alignment/>
      <protection/>
    </xf>
    <xf numFmtId="0" fontId="11" fillId="0" borderId="0" xfId="75" applyFont="1" applyFill="1" applyAlignment="1">
      <alignment horizontal="center" wrapText="1"/>
      <protection/>
    </xf>
    <xf numFmtId="0" fontId="13" fillId="0" borderId="0" xfId="75" applyFont="1" applyFill="1" applyBorder="1">
      <alignment/>
      <protection/>
    </xf>
    <xf numFmtId="0" fontId="33" fillId="0" borderId="0" xfId="75" applyFont="1" applyFill="1" applyBorder="1">
      <alignment/>
      <protection/>
    </xf>
    <xf numFmtId="0" fontId="11" fillId="0" borderId="10" xfId="75" applyFont="1" applyFill="1" applyBorder="1">
      <alignment/>
      <protection/>
    </xf>
    <xf numFmtId="0" fontId="11" fillId="0" borderId="42" xfId="75" applyFont="1" applyFill="1" applyBorder="1" applyAlignment="1">
      <alignment horizontal="center" wrapText="1"/>
      <protection/>
    </xf>
    <xf numFmtId="5" fontId="11" fillId="0" borderId="42" xfId="75" applyNumberFormat="1" applyFont="1" applyFill="1" applyBorder="1">
      <alignment/>
      <protection/>
    </xf>
    <xf numFmtId="37" fontId="11" fillId="0" borderId="42" xfId="75" applyNumberFormat="1" applyFont="1" applyFill="1" applyBorder="1">
      <alignment/>
      <protection/>
    </xf>
    <xf numFmtId="5" fontId="10" fillId="0" borderId="43" xfId="75" applyNumberFormat="1" applyFont="1" applyFill="1" applyBorder="1">
      <alignment/>
      <protection/>
    </xf>
    <xf numFmtId="5" fontId="10" fillId="0" borderId="42" xfId="75" applyNumberFormat="1" applyFont="1" applyFill="1" applyBorder="1">
      <alignment/>
      <protection/>
    </xf>
    <xf numFmtId="0" fontId="11" fillId="0" borderId="42" xfId="75" applyFont="1" applyFill="1" applyBorder="1">
      <alignment/>
      <protection/>
    </xf>
    <xf numFmtId="5" fontId="10" fillId="0" borderId="44" xfId="75" applyNumberFormat="1" applyFont="1" applyFill="1" applyBorder="1">
      <alignment/>
      <protection/>
    </xf>
    <xf numFmtId="5" fontId="0" fillId="0" borderId="0" xfId="75" applyNumberFormat="1" applyFont="1" applyFill="1">
      <alignment/>
      <protection/>
    </xf>
    <xf numFmtId="166" fontId="0" fillId="0" borderId="0" xfId="75" applyNumberFormat="1" applyFont="1" applyFill="1">
      <alignment/>
      <protection/>
    </xf>
    <xf numFmtId="5" fontId="11" fillId="0" borderId="0" xfId="75" applyNumberFormat="1" applyFont="1" applyFill="1" applyAlignment="1">
      <alignment horizontal="center"/>
      <protection/>
    </xf>
    <xf numFmtId="37" fontId="7" fillId="0" borderId="0" xfId="79" applyNumberFormat="1" applyFont="1" applyFill="1" applyAlignment="1">
      <alignment vertical="top"/>
      <protection/>
    </xf>
    <xf numFmtId="0" fontId="0" fillId="0" borderId="10" xfId="75" applyFont="1" applyFill="1" applyBorder="1" applyAlignment="1">
      <alignment horizontal="center" wrapText="1"/>
      <protection/>
    </xf>
    <xf numFmtId="0" fontId="0" fillId="0" borderId="36" xfId="75" applyFont="1" applyFill="1" applyBorder="1" applyAlignment="1">
      <alignment horizontal="center" wrapText="1"/>
      <protection/>
    </xf>
    <xf numFmtId="0" fontId="0" fillId="0" borderId="45" xfId="75" applyFont="1" applyFill="1" applyBorder="1" applyAlignment="1">
      <alignment horizontal="center" wrapText="1"/>
      <protection/>
    </xf>
    <xf numFmtId="37" fontId="11" fillId="0" borderId="14" xfId="79" applyNumberFormat="1" applyFont="1" applyFill="1" applyBorder="1" applyAlignment="1">
      <alignment horizontal="center" wrapText="1"/>
      <protection/>
    </xf>
    <xf numFmtId="37" fontId="14" fillId="0" borderId="0" xfId="0" applyNumberFormat="1" applyFont="1" applyFill="1" applyAlignment="1">
      <alignment horizontal="left" vertical="top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 wrapText="1"/>
    </xf>
    <xf numFmtId="37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 indent="1"/>
    </xf>
    <xf numFmtId="37" fontId="11" fillId="0" borderId="0" xfId="0" applyNumberFormat="1" applyFont="1" applyFill="1" applyAlignment="1">
      <alignment horizontal="left" vertical="top" wrapText="1"/>
    </xf>
    <xf numFmtId="37" fontId="91" fillId="0" borderId="13" xfId="52" applyNumberFormat="1" applyFont="1" applyFill="1" applyBorder="1" applyAlignment="1" quotePrefix="1">
      <alignment horizontal="center"/>
    </xf>
    <xf numFmtId="5" fontId="85" fillId="0" borderId="13" xfId="52" applyNumberFormat="1" applyFont="1" applyFill="1" applyBorder="1" applyAlignment="1">
      <alignment/>
    </xf>
    <xf numFmtId="37" fontId="85" fillId="0" borderId="13" xfId="52" applyNumberFormat="1" applyFont="1" applyFill="1" applyBorder="1" applyAlignment="1">
      <alignment/>
    </xf>
    <xf numFmtId="5" fontId="85" fillId="0" borderId="15" xfId="52" applyNumberFormat="1" applyFont="1" applyFill="1" applyBorder="1" applyAlignment="1">
      <alignment/>
    </xf>
    <xf numFmtId="5" fontId="85" fillId="0" borderId="16" xfId="52" applyNumberFormat="1" applyFont="1" applyFill="1" applyBorder="1" applyAlignment="1">
      <alignment/>
    </xf>
    <xf numFmtId="37" fontId="86" fillId="0" borderId="0" xfId="74" applyNumberFormat="1" applyFont="1" applyFill="1" applyAlignment="1">
      <alignment wrapText="1"/>
      <protection/>
    </xf>
    <xf numFmtId="37" fontId="86" fillId="0" borderId="0" xfId="52" applyNumberFormat="1" applyFont="1" applyFill="1" applyBorder="1" applyAlignment="1" quotePrefix="1">
      <alignment horizontal="center" wrapText="1"/>
    </xf>
    <xf numFmtId="37" fontId="86" fillId="0" borderId="14" xfId="52" applyNumberFormat="1" applyFont="1" applyFill="1" applyBorder="1" applyAlignment="1">
      <alignment horizontal="center" wrapText="1"/>
    </xf>
    <xf numFmtId="37" fontId="8" fillId="0" borderId="0" xfId="0" applyNumberFormat="1" applyFont="1" applyFill="1" applyBorder="1" applyAlignment="1">
      <alignment horizontal="center" vertical="center"/>
    </xf>
    <xf numFmtId="37" fontId="12" fillId="0" borderId="13" xfId="0" applyNumberFormat="1" applyFont="1" applyFill="1" applyBorder="1" applyAlignment="1">
      <alignment horizontal="center" vertical="center" wrapText="1"/>
    </xf>
    <xf numFmtId="37" fontId="12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/>
    </xf>
    <xf numFmtId="37" fontId="93" fillId="0" borderId="0" xfId="74" applyNumberFormat="1" applyFont="1" applyFill="1" applyAlignment="1">
      <alignment horizontal="center" vertical="center"/>
      <protection/>
    </xf>
    <xf numFmtId="37" fontId="90" fillId="0" borderId="0" xfId="52" applyNumberFormat="1" applyFont="1" applyFill="1" applyBorder="1" applyAlignment="1" quotePrefix="1">
      <alignment horizontal="center" vertical="center" wrapText="1"/>
    </xf>
    <xf numFmtId="37" fontId="90" fillId="0" borderId="0" xfId="52" applyNumberFormat="1" applyFont="1" applyFill="1" applyBorder="1" applyAlignment="1" quotePrefix="1">
      <alignment horizontal="center" vertical="center"/>
    </xf>
    <xf numFmtId="37" fontId="90" fillId="0" borderId="13" xfId="52" applyNumberFormat="1" applyFont="1" applyFill="1" applyBorder="1" applyAlignment="1" quotePrefix="1">
      <alignment horizontal="center" vertical="center"/>
    </xf>
    <xf numFmtId="37" fontId="90" fillId="0" borderId="0" xfId="52" applyNumberFormat="1" applyFont="1" applyFill="1" applyBorder="1" applyAlignment="1">
      <alignment horizontal="center" vertical="center"/>
    </xf>
    <xf numFmtId="0" fontId="94" fillId="0" borderId="42" xfId="75" applyFont="1" applyFill="1" applyBorder="1" applyAlignment="1">
      <alignment horizontal="center" vertical="center" wrapText="1"/>
      <protection/>
    </xf>
    <xf numFmtId="0" fontId="94" fillId="0" borderId="0" xfId="75" applyFont="1" applyFill="1" applyBorder="1" applyAlignment="1">
      <alignment horizontal="center" vertical="center" wrapText="1"/>
      <protection/>
    </xf>
    <xf numFmtId="37" fontId="9" fillId="0" borderId="0" xfId="70" applyNumberFormat="1" applyFont="1" applyFill="1" applyAlignment="1" quotePrefix="1">
      <alignment horizontal="center" vertical="center"/>
      <protection/>
    </xf>
    <xf numFmtId="0" fontId="94" fillId="0" borderId="46" xfId="75" applyFont="1" applyFill="1" applyBorder="1" applyAlignment="1">
      <alignment horizontal="center" vertical="center" wrapText="1"/>
      <protection/>
    </xf>
    <xf numFmtId="0" fontId="94" fillId="0" borderId="47" xfId="75" applyFont="1" applyFill="1" applyBorder="1" applyAlignment="1">
      <alignment horizontal="center" vertical="center" wrapText="1"/>
      <protection/>
    </xf>
    <xf numFmtId="37" fontId="9" fillId="0" borderId="0" xfId="70" applyNumberFormat="1" applyFont="1" applyFill="1" applyBorder="1" applyAlignment="1" quotePrefix="1">
      <alignment horizontal="center" vertical="center"/>
      <protection/>
    </xf>
    <xf numFmtId="37" fontId="9" fillId="0" borderId="27" xfId="70" applyNumberFormat="1" applyFont="1" applyFill="1" applyBorder="1" applyAlignment="1" quotePrefix="1">
      <alignment horizontal="center" vertical="center"/>
      <protection/>
    </xf>
    <xf numFmtId="37" fontId="9" fillId="0" borderId="0" xfId="70" applyNumberFormat="1" applyFont="1" applyFill="1" applyBorder="1" applyAlignment="1">
      <alignment horizontal="center" vertical="center"/>
      <protection/>
    </xf>
    <xf numFmtId="37" fontId="9" fillId="0" borderId="27" xfId="70" applyNumberFormat="1" applyFont="1" applyFill="1" applyBorder="1" applyAlignment="1">
      <alignment horizontal="center" vertical="center"/>
      <protection/>
    </xf>
    <xf numFmtId="37" fontId="9" fillId="0" borderId="47" xfId="70" applyNumberFormat="1" applyFont="1" applyFill="1" applyBorder="1" applyAlignment="1">
      <alignment horizontal="center" vertical="center"/>
      <protection/>
    </xf>
    <xf numFmtId="0" fontId="9" fillId="0" borderId="27" xfId="75" applyFont="1" applyFill="1" applyBorder="1" applyAlignment="1">
      <alignment horizontal="center" vertical="center" wrapText="1"/>
      <protection/>
    </xf>
    <xf numFmtId="0" fontId="94" fillId="0" borderId="0" xfId="75" applyFont="1" applyFill="1" applyAlignment="1">
      <alignment horizontal="center" vertical="center" wrapText="1"/>
      <protection/>
    </xf>
    <xf numFmtId="37" fontId="3" fillId="0" borderId="0" xfId="79" applyNumberFormat="1" applyFont="1" applyFill="1" applyBorder="1" applyAlignment="1">
      <alignment vertical="center"/>
      <protection/>
    </xf>
    <xf numFmtId="37" fontId="3" fillId="0" borderId="22" xfId="79" applyNumberFormat="1" applyFont="1" applyFill="1" applyBorder="1" applyAlignment="1">
      <alignment vertical="center"/>
      <protection/>
    </xf>
    <xf numFmtId="37" fontId="3" fillId="0" borderId="22" xfId="79" applyNumberFormat="1" applyFont="1" applyFill="1" applyBorder="1" applyAlignment="1">
      <alignment horizontal="center" vertical="center"/>
      <protection/>
    </xf>
    <xf numFmtId="37" fontId="3" fillId="0" borderId="13" xfId="79" applyNumberFormat="1" applyFont="1" applyFill="1" applyBorder="1" applyAlignment="1">
      <alignment horizontal="center" vertical="center"/>
      <protection/>
    </xf>
    <xf numFmtId="37" fontId="3" fillId="0" borderId="0" xfId="79" applyNumberFormat="1" applyFont="1" applyFill="1" applyBorder="1" applyAlignment="1">
      <alignment horizontal="center" vertical="center"/>
      <protection/>
    </xf>
    <xf numFmtId="37" fontId="3" fillId="0" borderId="0" xfId="79" applyNumberFormat="1" applyFont="1" applyFill="1" applyAlignment="1">
      <alignment vertical="center"/>
      <protection/>
    </xf>
    <xf numFmtId="0" fontId="86" fillId="0" borderId="22" xfId="70" applyFont="1" applyFill="1" applyBorder="1" applyAlignment="1">
      <alignment horizontal="center" vertical="center"/>
      <protection/>
    </xf>
    <xf numFmtId="0" fontId="85" fillId="0" borderId="0" xfId="70" applyFont="1" applyFill="1" applyBorder="1" applyAlignment="1">
      <alignment vertical="center"/>
      <protection/>
    </xf>
    <xf numFmtId="0" fontId="85" fillId="0" borderId="48" xfId="70" applyFont="1" applyFill="1" applyBorder="1" applyAlignment="1">
      <alignment horizontal="center" vertical="center"/>
      <protection/>
    </xf>
    <xf numFmtId="0" fontId="85" fillId="0" borderId="0" xfId="70" applyFont="1" applyFill="1" applyBorder="1" applyAlignment="1">
      <alignment horizontal="center" vertical="center"/>
      <protection/>
    </xf>
    <xf numFmtId="0" fontId="85" fillId="0" borderId="22" xfId="70" applyFont="1" applyFill="1" applyBorder="1" applyAlignment="1">
      <alignment horizontal="center" vertical="center"/>
      <protection/>
    </xf>
    <xf numFmtId="0" fontId="85" fillId="0" borderId="23" xfId="70" applyFont="1" applyFill="1" applyBorder="1" applyAlignment="1">
      <alignment horizontal="center" vertical="center"/>
      <protection/>
    </xf>
    <xf numFmtId="0" fontId="95" fillId="0" borderId="0" xfId="70" applyFont="1" applyFill="1" applyBorder="1" applyAlignment="1">
      <alignment horizontal="center" vertical="center"/>
      <protection/>
    </xf>
    <xf numFmtId="0" fontId="86" fillId="0" borderId="23" xfId="70" applyFont="1" applyFill="1" applyBorder="1" applyAlignment="1">
      <alignment vertical="center"/>
      <protection/>
    </xf>
    <xf numFmtId="0" fontId="86" fillId="0" borderId="0" xfId="70" applyFont="1" applyFill="1" applyBorder="1" applyAlignment="1">
      <alignment vertical="center"/>
      <protection/>
    </xf>
    <xf numFmtId="5" fontId="85" fillId="0" borderId="0" xfId="74" applyNumberFormat="1" applyFont="1" applyFill="1">
      <alignment/>
      <protection/>
    </xf>
    <xf numFmtId="5" fontId="67" fillId="0" borderId="0" xfId="74" applyNumberFormat="1" applyFont="1" applyFill="1">
      <alignment/>
      <protection/>
    </xf>
    <xf numFmtId="37" fontId="86" fillId="0" borderId="19" xfId="52" applyNumberFormat="1" applyFont="1" applyFill="1" applyBorder="1" applyAlignment="1">
      <alignment horizontal="center" wrapText="1"/>
    </xf>
    <xf numFmtId="37" fontId="85" fillId="0" borderId="17" xfId="52" applyNumberFormat="1" applyFont="1" applyFill="1" applyBorder="1" applyAlignment="1">
      <alignment/>
    </xf>
    <xf numFmtId="37" fontId="86" fillId="0" borderId="19" xfId="52" applyNumberFormat="1" applyFont="1" applyFill="1" applyBorder="1" applyAlignment="1" quotePrefix="1">
      <alignment horizontal="center" wrapText="1"/>
    </xf>
    <xf numFmtId="37" fontId="90" fillId="0" borderId="22" xfId="52" applyNumberFormat="1" applyFont="1" applyFill="1" applyBorder="1" applyAlignment="1" quotePrefix="1">
      <alignment horizontal="center" vertical="center" wrapText="1"/>
    </xf>
    <xf numFmtId="37" fontId="85" fillId="0" borderId="32" xfId="52" applyNumberFormat="1" applyFont="1" applyFill="1" applyBorder="1" applyAlignment="1">
      <alignment/>
    </xf>
    <xf numFmtId="5" fontId="85" fillId="0" borderId="35" xfId="5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86" fillId="0" borderId="18" xfId="52" applyNumberFormat="1" applyFont="1" applyFill="1" applyBorder="1" applyAlignment="1">
      <alignment horizontal="center" wrapText="1"/>
    </xf>
    <xf numFmtId="37" fontId="90" fillId="0" borderId="22" xfId="52" applyNumberFormat="1" applyFont="1" applyFill="1" applyBorder="1" applyAlignment="1">
      <alignment horizontal="center" vertical="center"/>
    </xf>
    <xf numFmtId="37" fontId="91" fillId="0" borderId="22" xfId="52" applyNumberFormat="1" applyFont="1" applyFill="1" applyBorder="1" applyAlignment="1" quotePrefix="1">
      <alignment horizontal="center"/>
    </xf>
    <xf numFmtId="5" fontId="85" fillId="0" borderId="22" xfId="52" applyNumberFormat="1" applyFont="1" applyFill="1" applyBorder="1" applyAlignment="1">
      <alignment/>
    </xf>
    <xf numFmtId="37" fontId="85" fillId="0" borderId="22" xfId="52" applyNumberFormat="1" applyFont="1" applyFill="1" applyBorder="1" applyAlignment="1">
      <alignment/>
    </xf>
    <xf numFmtId="5" fontId="85" fillId="0" borderId="49" xfId="52" applyNumberFormat="1" applyFont="1" applyFill="1" applyBorder="1" applyAlignment="1">
      <alignment/>
    </xf>
    <xf numFmtId="37" fontId="85" fillId="0" borderId="24" xfId="52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87" fillId="0" borderId="0" xfId="74" applyNumberFormat="1" applyFont="1" applyFill="1" applyBorder="1" applyAlignment="1" quotePrefix="1">
      <alignment horizontal="center"/>
      <protection/>
    </xf>
    <xf numFmtId="37" fontId="0" fillId="0" borderId="0" xfId="0" applyNumberFormat="1" applyFont="1" applyFill="1" applyAlignment="1">
      <alignment vertical="top"/>
    </xf>
    <xf numFmtId="37" fontId="0" fillId="0" borderId="0" xfId="0" applyNumberFormat="1" applyFont="1" applyFill="1" applyBorder="1" applyAlignment="1">
      <alignment horizontal="right" vertical="top"/>
    </xf>
    <xf numFmtId="37" fontId="67" fillId="0" borderId="0" xfId="52" applyNumberFormat="1" applyFont="1" applyFill="1" applyAlignment="1">
      <alignment vertical="top"/>
    </xf>
    <xf numFmtId="37" fontId="67" fillId="0" borderId="0" xfId="52" applyNumberFormat="1" applyFont="1" applyFill="1" applyBorder="1" applyAlignment="1">
      <alignment vertical="top"/>
    </xf>
    <xf numFmtId="37" fontId="67" fillId="0" borderId="0" xfId="74" applyNumberFormat="1" applyFont="1" applyFill="1" applyAlignment="1">
      <alignment vertical="top"/>
      <protection/>
    </xf>
    <xf numFmtId="37" fontId="86" fillId="0" borderId="0" xfId="74" applyNumberFormat="1" applyFont="1" applyFill="1" applyAlignment="1">
      <alignment vertical="top"/>
      <protection/>
    </xf>
    <xf numFmtId="37" fontId="10" fillId="0" borderId="17" xfId="0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 horizontal="center"/>
    </xf>
    <xf numFmtId="37" fontId="86" fillId="0" borderId="0" xfId="74" applyNumberFormat="1" applyFont="1" applyFill="1" applyAlignment="1">
      <alignment horizontal="center" wrapText="1"/>
      <protection/>
    </xf>
    <xf numFmtId="5" fontId="85" fillId="0" borderId="11" xfId="74" applyNumberFormat="1" applyFont="1" applyFill="1" applyBorder="1">
      <alignment/>
      <protection/>
    </xf>
    <xf numFmtId="5" fontId="85" fillId="0" borderId="12" xfId="74" applyNumberFormat="1" applyFont="1" applyFill="1" applyBorder="1">
      <alignment/>
      <protection/>
    </xf>
    <xf numFmtId="37" fontId="0" fillId="0" borderId="0" xfId="0" applyNumberFormat="1" applyFont="1" applyFill="1" applyAlignment="1">
      <alignment vertical="top" wrapText="1"/>
    </xf>
    <xf numFmtId="37" fontId="0" fillId="0" borderId="14" xfId="0" applyNumberFormat="1" applyFont="1" applyFill="1" applyBorder="1" applyAlignment="1">
      <alignment horizontal="center" wrapText="1"/>
    </xf>
    <xf numFmtId="37" fontId="8" fillId="0" borderId="13" xfId="0" applyNumberFormat="1" applyFont="1" applyFill="1" applyBorder="1" applyAlignment="1">
      <alignment horizontal="center" vertical="center"/>
    </xf>
    <xf numFmtId="37" fontId="8" fillId="0" borderId="13" xfId="0" applyNumberFormat="1" applyFont="1" applyFill="1" applyBorder="1" applyAlignment="1">
      <alignment/>
    </xf>
    <xf numFmtId="37" fontId="3" fillId="0" borderId="13" xfId="79" applyNumberFormat="1" applyFont="1" applyFill="1" applyBorder="1" applyAlignment="1">
      <alignment vertical="center"/>
      <protection/>
    </xf>
    <xf numFmtId="37" fontId="85" fillId="0" borderId="13" xfId="74" applyNumberFormat="1" applyFont="1" applyFill="1" applyBorder="1">
      <alignment/>
      <protection/>
    </xf>
    <xf numFmtId="37" fontId="91" fillId="0" borderId="22" xfId="52" applyNumberFormat="1" applyFont="1" applyFill="1" applyBorder="1" applyAlignment="1">
      <alignment horizontal="center" wrapText="1"/>
    </xf>
    <xf numFmtId="37" fontId="4" fillId="0" borderId="0" xfId="0" applyNumberFormat="1" applyFont="1" applyFill="1" applyBorder="1" applyAlignment="1">
      <alignment horizontal="center"/>
    </xf>
    <xf numFmtId="0" fontId="0" fillId="0" borderId="50" xfId="75" applyFont="1" applyFill="1" applyBorder="1" applyAlignment="1">
      <alignment horizontal="center" wrapText="1"/>
      <protection/>
    </xf>
    <xf numFmtId="0" fontId="0" fillId="0" borderId="51" xfId="75" applyFont="1" applyFill="1" applyBorder="1" applyAlignment="1">
      <alignment horizontal="center" wrapText="1"/>
      <protection/>
    </xf>
    <xf numFmtId="0" fontId="0" fillId="0" borderId="52" xfId="75" applyFont="1" applyFill="1" applyBorder="1" applyAlignment="1">
      <alignment horizontal="center" wrapText="1"/>
      <protection/>
    </xf>
    <xf numFmtId="0" fontId="0" fillId="0" borderId="0" xfId="75" applyFont="1" applyFill="1" applyAlignment="1">
      <alignment horizontal="center" wrapText="1"/>
      <protection/>
    </xf>
    <xf numFmtId="171" fontId="0" fillId="0" borderId="0" xfId="0" applyNumberFormat="1" applyFont="1" applyFill="1" applyBorder="1" applyAlignment="1">
      <alignment horizontal="right" vertical="top"/>
    </xf>
    <xf numFmtId="0" fontId="8" fillId="0" borderId="0" xfId="75" applyNumberFormat="1" applyFont="1" applyFill="1" applyAlignment="1">
      <alignment wrapText="1"/>
      <protection/>
    </xf>
    <xf numFmtId="0" fontId="8" fillId="0" borderId="0" xfId="75" applyNumberFormat="1" applyFont="1" applyFill="1" applyAlignment="1">
      <alignment/>
      <protection/>
    </xf>
    <xf numFmtId="37" fontId="86" fillId="0" borderId="0" xfId="0" applyNumberFormat="1" applyFont="1" applyFill="1" applyAlignment="1">
      <alignment/>
    </xf>
    <xf numFmtId="37" fontId="85" fillId="0" borderId="22" xfId="70" applyNumberFormat="1" applyFont="1" applyFill="1" applyBorder="1">
      <alignment/>
      <protection/>
    </xf>
    <xf numFmtId="37" fontId="85" fillId="33" borderId="22" xfId="70" applyNumberFormat="1" applyFont="1" applyFill="1" applyBorder="1">
      <alignment/>
      <protection/>
    </xf>
    <xf numFmtId="37" fontId="85" fillId="0" borderId="22" xfId="75" applyNumberFormat="1" applyFont="1" applyBorder="1">
      <alignment/>
      <protection/>
    </xf>
    <xf numFmtId="3" fontId="85" fillId="0" borderId="22" xfId="75" applyNumberFormat="1" applyFont="1" applyBorder="1">
      <alignment/>
      <protection/>
    </xf>
    <xf numFmtId="37" fontId="96" fillId="0" borderId="0" xfId="52" applyNumberFormat="1" applyFont="1" applyFill="1" applyAlignment="1">
      <alignment/>
    </xf>
    <xf numFmtId="166" fontId="86" fillId="0" borderId="0" xfId="42" applyNumberFormat="1" applyFont="1" applyFill="1" applyBorder="1" applyAlignment="1">
      <alignment/>
    </xf>
    <xf numFmtId="37" fontId="2" fillId="0" borderId="53" xfId="0" applyNumberFormat="1" applyFont="1" applyFill="1" applyBorder="1" applyAlignment="1">
      <alignment horizontal="center" vertical="center"/>
    </xf>
    <xf numFmtId="37" fontId="2" fillId="0" borderId="17" xfId="0" applyNumberFormat="1" applyFont="1" applyFill="1" applyBorder="1" applyAlignment="1" quotePrefix="1">
      <alignment horizontal="center" vertical="center"/>
    </xf>
    <xf numFmtId="37" fontId="2" fillId="0" borderId="11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 horizontal="left" vertical="top" wrapText="1"/>
    </xf>
    <xf numFmtId="37" fontId="0" fillId="0" borderId="0" xfId="0" applyNumberFormat="1" applyFont="1" applyFill="1" applyAlignment="1">
      <alignment horizontal="left" vertical="top" wrapText="1"/>
    </xf>
    <xf numFmtId="37" fontId="87" fillId="0" borderId="17" xfId="52" applyNumberFormat="1" applyFont="1" applyFill="1" applyBorder="1" applyAlignment="1">
      <alignment horizontal="center"/>
    </xf>
    <xf numFmtId="37" fontId="4" fillId="0" borderId="10" xfId="0" applyNumberFormat="1" applyFont="1" applyFill="1" applyBorder="1" applyAlignment="1">
      <alignment horizontal="center"/>
    </xf>
    <xf numFmtId="0" fontId="10" fillId="0" borderId="46" xfId="75" applyFont="1" applyFill="1" applyBorder="1" applyAlignment="1">
      <alignment horizontal="center"/>
      <protection/>
    </xf>
    <xf numFmtId="0" fontId="10" fillId="0" borderId="47" xfId="75" applyFont="1" applyFill="1" applyBorder="1" applyAlignment="1">
      <alignment horizontal="center"/>
      <protection/>
    </xf>
    <xf numFmtId="0" fontId="10" fillId="0" borderId="54" xfId="75" applyFont="1" applyFill="1" applyBorder="1" applyAlignment="1">
      <alignment horizontal="center"/>
      <protection/>
    </xf>
    <xf numFmtId="37" fontId="97" fillId="0" borderId="47" xfId="70" applyNumberFormat="1" applyFont="1" applyFill="1" applyBorder="1" applyAlignment="1" quotePrefix="1">
      <alignment horizontal="center" vertical="center" wrapText="1"/>
      <protection/>
    </xf>
    <xf numFmtId="0" fontId="10" fillId="0" borderId="45" xfId="75" applyFont="1" applyFill="1" applyBorder="1" applyAlignment="1">
      <alignment horizontal="center"/>
      <protection/>
    </xf>
    <xf numFmtId="0" fontId="10" fillId="0" borderId="50" xfId="75" applyFont="1" applyFill="1" applyBorder="1" applyAlignment="1">
      <alignment horizontal="center"/>
      <protection/>
    </xf>
    <xf numFmtId="0" fontId="10" fillId="0" borderId="51" xfId="75" applyFont="1" applyFill="1" applyBorder="1" applyAlignment="1">
      <alignment horizontal="center"/>
      <protection/>
    </xf>
    <xf numFmtId="0" fontId="4" fillId="0" borderId="45" xfId="75" applyFont="1" applyFill="1" applyBorder="1" applyAlignment="1">
      <alignment horizontal="center"/>
      <protection/>
    </xf>
    <xf numFmtId="0" fontId="4" fillId="0" borderId="50" xfId="75" applyFont="1" applyFill="1" applyBorder="1" applyAlignment="1">
      <alignment horizontal="center"/>
      <protection/>
    </xf>
    <xf numFmtId="0" fontId="4" fillId="0" borderId="51" xfId="75" applyFont="1" applyFill="1" applyBorder="1" applyAlignment="1">
      <alignment horizontal="center"/>
      <protection/>
    </xf>
    <xf numFmtId="37" fontId="10" fillId="0" borderId="10" xfId="79" applyNumberFormat="1" applyFont="1" applyFill="1" applyBorder="1" applyAlignment="1">
      <alignment horizontal="center"/>
      <protection/>
    </xf>
    <xf numFmtId="37" fontId="0" fillId="0" borderId="0" xfId="79" applyNumberFormat="1" applyFont="1" applyFill="1" applyAlignment="1">
      <alignment horizontal="left" vertical="top" wrapText="1"/>
      <protection/>
    </xf>
    <xf numFmtId="37" fontId="0" fillId="0" borderId="0" xfId="79" applyNumberFormat="1" applyFill="1" applyAlignment="1">
      <alignment horizontal="left" vertical="top" wrapText="1"/>
      <protection/>
    </xf>
    <xf numFmtId="0" fontId="87" fillId="0" borderId="49" xfId="70" applyFont="1" applyFill="1" applyBorder="1" applyAlignment="1" quotePrefix="1">
      <alignment horizontal="center" wrapText="1"/>
      <protection/>
    </xf>
    <xf numFmtId="0" fontId="87" fillId="0" borderId="11" xfId="70" applyFont="1" applyFill="1" applyBorder="1" applyAlignment="1" quotePrefix="1">
      <alignment horizontal="center" wrapText="1"/>
      <protection/>
    </xf>
    <xf numFmtId="0" fontId="85" fillId="0" borderId="20" xfId="70" applyFont="1" applyFill="1" applyBorder="1" applyAlignment="1">
      <alignment horizontal="center" wrapText="1"/>
      <protection/>
    </xf>
    <xf numFmtId="0" fontId="85" fillId="0" borderId="21" xfId="70" applyFont="1" applyFill="1" applyBorder="1" applyAlignment="1">
      <alignment horizontal="center" wrapText="1"/>
      <protection/>
    </xf>
    <xf numFmtId="0" fontId="85" fillId="0" borderId="10" xfId="70" applyFont="1" applyFill="1" applyBorder="1" applyAlignment="1">
      <alignment horizontal="center" wrapText="1"/>
      <protection/>
    </xf>
    <xf numFmtId="0" fontId="87" fillId="0" borderId="20" xfId="70" applyFont="1" applyFill="1" applyBorder="1" applyAlignment="1">
      <alignment horizontal="center" wrapText="1"/>
      <protection/>
    </xf>
    <xf numFmtId="0" fontId="87" fillId="0" borderId="10" xfId="70" applyFont="1" applyFill="1" applyBorder="1" applyAlignment="1">
      <alignment horizontal="center" wrapText="1"/>
      <protection/>
    </xf>
    <xf numFmtId="0" fontId="87" fillId="0" borderId="21" xfId="70" applyFont="1" applyFill="1" applyBorder="1" applyAlignment="1">
      <alignment horizontal="center" wrapText="1"/>
      <protection/>
    </xf>
    <xf numFmtId="0" fontId="88" fillId="0" borderId="0" xfId="70" applyFont="1" applyFill="1" applyBorder="1" applyAlignment="1">
      <alignment horizontal="left" vertical="top" wrapText="1"/>
      <protection/>
    </xf>
    <xf numFmtId="0" fontId="86" fillId="0" borderId="0" xfId="70" applyFont="1" applyFill="1" applyBorder="1" applyAlignment="1">
      <alignment horizontal="left" vertical="top" wrapText="1"/>
      <protection/>
    </xf>
    <xf numFmtId="37" fontId="4" fillId="0" borderId="17" xfId="73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73" applyFont="1" applyAlignment="1">
      <alignment horizontal="left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6" xfId="50"/>
    <cellStyle name="Comma 6 2" xfId="51"/>
    <cellStyle name="Comma 7" xfId="52"/>
    <cellStyle name="Comma 7 2" xfId="53"/>
    <cellStyle name="Currency" xfId="54"/>
    <cellStyle name="Currency [0]" xfId="55"/>
    <cellStyle name="Currency 2" xfId="56"/>
    <cellStyle name="Currency 2 2" xfId="57"/>
    <cellStyle name="Currency 3" xfId="58"/>
    <cellStyle name="Currency 3 2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4 2" xfId="73"/>
    <cellStyle name="Normal 5" xfId="74"/>
    <cellStyle name="Normal 5 2" xfId="75"/>
    <cellStyle name="Normal 6" xfId="76"/>
    <cellStyle name="Normal 7" xfId="77"/>
    <cellStyle name="Normal 7 2" xfId="78"/>
    <cellStyle name="Normal 8" xfId="79"/>
    <cellStyle name="Normal 8 2" xfId="80"/>
    <cellStyle name="Note" xfId="81"/>
    <cellStyle name="Output" xfId="82"/>
    <cellStyle name="Percent" xfId="83"/>
    <cellStyle name="Percent 2" xfId="84"/>
    <cellStyle name="Percent 3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2" sqref="S2"/>
    </sheetView>
  </sheetViews>
  <sheetFormatPr defaultColWidth="9.33203125" defaultRowHeight="12.75"/>
  <cols>
    <col min="1" max="1" width="2.33203125" style="1" customWidth="1"/>
    <col min="2" max="2" width="22.33203125" style="1" bestFit="1" customWidth="1"/>
    <col min="3" max="3" width="14.83203125" style="1" customWidth="1"/>
    <col min="4" max="4" width="2.66015625" style="1" bestFit="1" customWidth="1"/>
    <col min="5" max="5" width="14.83203125" style="1" customWidth="1"/>
    <col min="6" max="6" width="15" style="1" bestFit="1" customWidth="1"/>
    <col min="7" max="7" width="14.66015625" style="1" customWidth="1"/>
    <col min="8" max="8" width="3.83203125" style="8" customWidth="1"/>
    <col min="9" max="9" width="1.83203125" style="8" customWidth="1"/>
    <col min="10" max="10" width="16.33203125" style="1" bestFit="1" customWidth="1"/>
    <col min="11" max="11" width="1.83203125" style="1" customWidth="1"/>
    <col min="12" max="12" width="16.16015625" style="1" bestFit="1" customWidth="1"/>
    <col min="13" max="13" width="1.83203125" style="1" customWidth="1"/>
    <col min="14" max="14" width="15.83203125" style="1" bestFit="1" customWidth="1"/>
    <col min="15" max="15" width="1.83203125" style="1" customWidth="1"/>
    <col min="16" max="16" width="3.83203125" style="8" customWidth="1"/>
    <col min="17" max="18" width="15" style="1" bestFit="1" customWidth="1"/>
    <col min="19" max="19" width="13.66015625" style="1" customWidth="1"/>
    <col min="20" max="20" width="15" style="1" bestFit="1" customWidth="1"/>
    <col min="21" max="21" width="9.33203125" style="1" customWidth="1"/>
    <col min="22" max="23" width="15" style="1" bestFit="1" customWidth="1"/>
    <col min="24" max="24" width="14" style="1" bestFit="1" customWidth="1"/>
    <col min="25" max="16384" width="9.33203125" style="1" customWidth="1"/>
  </cols>
  <sheetData>
    <row r="1" spans="2:19" ht="18" customHeight="1">
      <c r="B1" s="78" t="s">
        <v>177</v>
      </c>
      <c r="S1" s="79" t="s">
        <v>191</v>
      </c>
    </row>
    <row r="2" ht="16.5" customHeight="1">
      <c r="B2" s="81"/>
    </row>
    <row r="3" spans="2:20" s="36" customFormat="1" ht="18" customHeight="1" thickBot="1">
      <c r="B3" s="35"/>
      <c r="C3" s="3">
        <v>-1</v>
      </c>
      <c r="D3" s="3"/>
      <c r="E3" s="3">
        <v>-2</v>
      </c>
      <c r="F3" s="3">
        <v>-3</v>
      </c>
      <c r="G3" s="3">
        <v>-4</v>
      </c>
      <c r="H3" s="43"/>
      <c r="I3" s="83"/>
      <c r="J3" s="3">
        <v>-5</v>
      </c>
      <c r="K3" s="3"/>
      <c r="L3" s="3">
        <v>-6</v>
      </c>
      <c r="M3" s="3"/>
      <c r="N3" s="3">
        <v>-7</v>
      </c>
      <c r="O3" s="3"/>
      <c r="P3" s="5"/>
      <c r="Q3" s="3">
        <v>-8</v>
      </c>
      <c r="R3" s="3">
        <v>-9</v>
      </c>
      <c r="S3" s="3">
        <v>-10</v>
      </c>
      <c r="T3" s="3">
        <v>-11</v>
      </c>
    </row>
    <row r="4" spans="3:20" s="4" customFormat="1" ht="18" customHeight="1">
      <c r="C4" s="394" t="s">
        <v>75</v>
      </c>
      <c r="D4" s="394"/>
      <c r="E4" s="394"/>
      <c r="F4" s="394"/>
      <c r="G4" s="394"/>
      <c r="H4" s="44"/>
      <c r="I4" s="395" t="s">
        <v>159</v>
      </c>
      <c r="J4" s="395"/>
      <c r="K4" s="395"/>
      <c r="L4" s="395"/>
      <c r="M4" s="395"/>
      <c r="N4" s="395"/>
      <c r="O4" s="395"/>
      <c r="P4" s="44"/>
      <c r="Q4" s="394" t="s">
        <v>176</v>
      </c>
      <c r="R4" s="394"/>
      <c r="S4" s="394"/>
      <c r="T4" s="394"/>
    </row>
    <row r="5" spans="3:20" s="4" customFormat="1" ht="12.75">
      <c r="C5" s="5"/>
      <c r="D5" s="5"/>
      <c r="E5" s="5"/>
      <c r="F5" s="5"/>
      <c r="G5" s="5"/>
      <c r="H5" s="44"/>
      <c r="I5" s="44"/>
      <c r="J5" s="396" t="s">
        <v>137</v>
      </c>
      <c r="K5" s="396"/>
      <c r="L5" s="396"/>
      <c r="M5" s="213"/>
      <c r="N5" s="368" t="s">
        <v>142</v>
      </c>
      <c r="O5" s="138"/>
      <c r="P5" s="44"/>
      <c r="Q5" s="5"/>
      <c r="R5" s="5"/>
      <c r="S5" s="5"/>
      <c r="T5" s="5"/>
    </row>
    <row r="6" spans="2:20" s="14" customFormat="1" ht="57" customHeight="1" thickBot="1">
      <c r="B6" s="13"/>
      <c r="C6" s="86" t="s">
        <v>187</v>
      </c>
      <c r="D6" s="86"/>
      <c r="E6" s="86" t="s">
        <v>161</v>
      </c>
      <c r="F6" s="86" t="s">
        <v>141</v>
      </c>
      <c r="G6" s="13" t="s">
        <v>28</v>
      </c>
      <c r="H6" s="29"/>
      <c r="I6" s="29"/>
      <c r="J6" s="86" t="s">
        <v>138</v>
      </c>
      <c r="K6" s="32"/>
      <c r="L6" s="86" t="s">
        <v>139</v>
      </c>
      <c r="M6" s="32"/>
      <c r="N6" s="86" t="s">
        <v>140</v>
      </c>
      <c r="O6" s="32"/>
      <c r="P6" s="29"/>
      <c r="Q6" s="86" t="s">
        <v>76</v>
      </c>
      <c r="R6" s="86" t="s">
        <v>162</v>
      </c>
      <c r="S6" s="13" t="s">
        <v>38</v>
      </c>
      <c r="T6" s="86" t="s">
        <v>121</v>
      </c>
    </row>
    <row r="7" spans="2:20" s="6" customFormat="1" ht="24">
      <c r="B7" s="15"/>
      <c r="C7" s="15"/>
      <c r="D7" s="15"/>
      <c r="E7" s="15"/>
      <c r="F7" s="15"/>
      <c r="G7" s="16" t="s">
        <v>37</v>
      </c>
      <c r="H7" s="15"/>
      <c r="I7" s="15"/>
      <c r="J7" s="17" t="s">
        <v>134</v>
      </c>
      <c r="K7" s="17"/>
      <c r="L7" s="217" t="s">
        <v>148</v>
      </c>
      <c r="M7" s="17"/>
      <c r="N7" s="17" t="s">
        <v>152</v>
      </c>
      <c r="O7" s="17"/>
      <c r="P7" s="15"/>
      <c r="Q7" s="18" t="s">
        <v>70</v>
      </c>
      <c r="R7" s="18" t="s">
        <v>69</v>
      </c>
      <c r="S7" s="51" t="s">
        <v>155</v>
      </c>
      <c r="T7" s="16" t="s">
        <v>71</v>
      </c>
    </row>
    <row r="8" ht="9" customHeight="1"/>
    <row r="9" spans="2:22" s="7" customFormat="1" ht="12.75">
      <c r="B9" s="9" t="s">
        <v>0</v>
      </c>
      <c r="C9" s="23">
        <v>55175299</v>
      </c>
      <c r="D9" s="23"/>
      <c r="E9" s="266">
        <v>30983000</v>
      </c>
      <c r="F9" s="267">
        <v>2816000</v>
      </c>
      <c r="G9" s="7">
        <f>SUM(C9:F9)</f>
        <v>88974299</v>
      </c>
      <c r="H9" s="9"/>
      <c r="I9" s="9"/>
      <c r="J9" s="7">
        <f>'(B) Base Bud Adj'!L8</f>
        <v>2346160</v>
      </c>
      <c r="L9" s="7">
        <f>'(C) 11-12 Expenditure Adjust.'!Q8</f>
        <v>-6479400</v>
      </c>
      <c r="N9" s="7">
        <f>'(D) Tuition Revenue'!AA8</f>
        <v>5027000</v>
      </c>
      <c r="P9" s="9"/>
      <c r="Q9" s="7">
        <f>C9+J9+L9</f>
        <v>51042059</v>
      </c>
      <c r="R9" s="7">
        <f aca="true" t="shared" si="0" ref="R9:R31">E9+N9</f>
        <v>36010000</v>
      </c>
      <c r="S9" s="7">
        <f>F9</f>
        <v>2816000</v>
      </c>
      <c r="T9" s="7">
        <f>SUM(Q9:S9)</f>
        <v>89868059</v>
      </c>
      <c r="V9" s="1"/>
    </row>
    <row r="10" spans="2:20" ht="12.75">
      <c r="B10" s="8" t="s">
        <v>1</v>
      </c>
      <c r="C10" s="22">
        <v>45969040</v>
      </c>
      <c r="D10" s="22"/>
      <c r="E10" s="268">
        <v>16246000</v>
      </c>
      <c r="F10" s="269">
        <v>1240000</v>
      </c>
      <c r="G10" s="1">
        <f>SUM(C10:F10)</f>
        <v>63455040</v>
      </c>
      <c r="J10" s="1">
        <f>'(B) Base Bud Adj'!L9</f>
        <v>2075150</v>
      </c>
      <c r="L10" s="1">
        <f>'(C) 11-12 Expenditure Adjust.'!Q9</f>
        <v>-2570700</v>
      </c>
      <c r="N10" s="1">
        <f>'(D) Tuition Revenue'!AA9</f>
        <v>3116000</v>
      </c>
      <c r="Q10" s="1">
        <f>C10+J10+L10</f>
        <v>45473490</v>
      </c>
      <c r="R10" s="1">
        <f t="shared" si="0"/>
        <v>19362000</v>
      </c>
      <c r="S10" s="1">
        <f>F10</f>
        <v>1240000</v>
      </c>
      <c r="T10" s="1">
        <f>SUM(Q10:S10)</f>
        <v>66075490</v>
      </c>
    </row>
    <row r="11" spans="2:20" ht="12.75">
      <c r="B11" s="8" t="s">
        <v>2</v>
      </c>
      <c r="C11" s="22">
        <v>102076032</v>
      </c>
      <c r="D11" s="22"/>
      <c r="E11" s="268">
        <v>62886000</v>
      </c>
      <c r="F11" s="269">
        <v>9801000</v>
      </c>
      <c r="G11" s="1">
        <f aca="true" t="shared" si="1" ref="G11:G31">SUM(C11:F11)</f>
        <v>174763032</v>
      </c>
      <c r="J11" s="1">
        <f>'(B) Base Bud Adj'!L10</f>
        <v>3477910</v>
      </c>
      <c r="L11" s="1">
        <f>'(C) 11-12 Expenditure Adjust.'!Q10</f>
        <v>-18090500</v>
      </c>
      <c r="N11" s="1">
        <f>'(D) Tuition Revenue'!AA10</f>
        <v>9675000</v>
      </c>
      <c r="Q11" s="1">
        <f aca="true" t="shared" si="2" ref="Q11:Q31">C11+J11+L11</f>
        <v>87463442</v>
      </c>
      <c r="R11" s="1">
        <f t="shared" si="0"/>
        <v>72561000</v>
      </c>
      <c r="S11" s="1">
        <f aca="true" t="shared" si="3" ref="S11:S31">F11</f>
        <v>9801000</v>
      </c>
      <c r="T11" s="1">
        <f>SUM(Q11:S11)</f>
        <v>169825442</v>
      </c>
    </row>
    <row r="12" spans="2:20" ht="12.75">
      <c r="B12" s="8" t="s">
        <v>3</v>
      </c>
      <c r="C12" s="22">
        <v>66950742</v>
      </c>
      <c r="D12" s="22"/>
      <c r="E12" s="268">
        <v>50316000</v>
      </c>
      <c r="F12" s="269">
        <v>3458000</v>
      </c>
      <c r="G12" s="1">
        <f t="shared" si="1"/>
        <v>120724742</v>
      </c>
      <c r="J12" s="1">
        <f>'(B) Base Bud Adj'!L11</f>
        <v>3771790</v>
      </c>
      <c r="L12" s="1">
        <f>'(C) 11-12 Expenditure Adjust.'!Q11</f>
        <v>-7561400</v>
      </c>
      <c r="N12" s="1">
        <f>'(D) Tuition Revenue'!AA11</f>
        <v>7027000</v>
      </c>
      <c r="Q12" s="1">
        <f t="shared" si="2"/>
        <v>63161132</v>
      </c>
      <c r="R12" s="1">
        <f t="shared" si="0"/>
        <v>57343000</v>
      </c>
      <c r="S12" s="1">
        <f t="shared" si="3"/>
        <v>3458000</v>
      </c>
      <c r="T12" s="1">
        <f aca="true" t="shared" si="4" ref="T12:T31">SUM(Q12:S12)</f>
        <v>123962132</v>
      </c>
    </row>
    <row r="13" spans="2:20" ht="12.75">
      <c r="B13" s="8" t="s">
        <v>29</v>
      </c>
      <c r="C13" s="22">
        <v>77629521</v>
      </c>
      <c r="D13" s="22"/>
      <c r="E13" s="268">
        <v>60513000</v>
      </c>
      <c r="F13" s="269">
        <v>18178000</v>
      </c>
      <c r="G13" s="1">
        <f t="shared" si="1"/>
        <v>156320521</v>
      </c>
      <c r="J13" s="1">
        <f>'(B) Base Bud Adj'!L12</f>
        <v>2613800</v>
      </c>
      <c r="L13" s="1">
        <f>'(C) 11-12 Expenditure Adjust.'!Q12</f>
        <v>-11575000</v>
      </c>
      <c r="N13" s="1">
        <f>'(D) Tuition Revenue'!AA12</f>
        <v>10236000</v>
      </c>
      <c r="Q13" s="1">
        <f t="shared" si="2"/>
        <v>68668321</v>
      </c>
      <c r="R13" s="1">
        <f t="shared" si="0"/>
        <v>70749000</v>
      </c>
      <c r="S13" s="1">
        <f t="shared" si="3"/>
        <v>18178000</v>
      </c>
      <c r="T13" s="1">
        <f t="shared" si="4"/>
        <v>157595321</v>
      </c>
    </row>
    <row r="14" spans="2:20" ht="12.75">
      <c r="B14" s="8" t="s">
        <v>4</v>
      </c>
      <c r="C14" s="22">
        <v>133844322</v>
      </c>
      <c r="D14" s="22"/>
      <c r="E14" s="268">
        <v>83558000</v>
      </c>
      <c r="F14" s="269">
        <v>11744000</v>
      </c>
      <c r="G14" s="1">
        <f t="shared" si="1"/>
        <v>229146322</v>
      </c>
      <c r="J14" s="1">
        <f>'(B) Base Bud Adj'!L13</f>
        <v>4418480</v>
      </c>
      <c r="L14" s="1">
        <f>'(C) 11-12 Expenditure Adjust.'!Q13</f>
        <v>-25034800</v>
      </c>
      <c r="N14" s="1">
        <f>'(D) Tuition Revenue'!AA13</f>
        <v>10989000</v>
      </c>
      <c r="Q14" s="1">
        <f t="shared" si="2"/>
        <v>113228002</v>
      </c>
      <c r="R14" s="1">
        <f t="shared" si="0"/>
        <v>94547000</v>
      </c>
      <c r="S14" s="1">
        <f t="shared" si="3"/>
        <v>11744000</v>
      </c>
      <c r="T14" s="1">
        <f t="shared" si="4"/>
        <v>219519002</v>
      </c>
    </row>
    <row r="15" spans="2:20" ht="12.75">
      <c r="B15" s="8" t="s">
        <v>5</v>
      </c>
      <c r="C15" s="22">
        <v>151122657</v>
      </c>
      <c r="D15" s="22"/>
      <c r="E15" s="268">
        <v>141493000</v>
      </c>
      <c r="F15" s="269">
        <v>21712000</v>
      </c>
      <c r="G15" s="1">
        <f t="shared" si="1"/>
        <v>314327657</v>
      </c>
      <c r="J15" s="1">
        <f>'(B) Base Bud Adj'!L14</f>
        <v>12266450</v>
      </c>
      <c r="L15" s="1">
        <f>'(C) 11-12 Expenditure Adjust.'!Q14</f>
        <v>-33460700</v>
      </c>
      <c r="N15" s="1">
        <f>'(D) Tuition Revenue'!AA14</f>
        <v>20645000</v>
      </c>
      <c r="Q15" s="1">
        <f t="shared" si="2"/>
        <v>129928407</v>
      </c>
      <c r="R15" s="1">
        <f t="shared" si="0"/>
        <v>162138000</v>
      </c>
      <c r="S15" s="1">
        <f t="shared" si="3"/>
        <v>21712000</v>
      </c>
      <c r="T15" s="1">
        <f t="shared" si="4"/>
        <v>313778407</v>
      </c>
    </row>
    <row r="16" spans="2:20" ht="12.75">
      <c r="B16" s="8" t="s">
        <v>6</v>
      </c>
      <c r="C16" s="22">
        <v>69875740</v>
      </c>
      <c r="D16" s="22"/>
      <c r="E16" s="268">
        <v>30954000</v>
      </c>
      <c r="F16" s="269">
        <v>7931000</v>
      </c>
      <c r="G16" s="1">
        <f t="shared" si="1"/>
        <v>108760740</v>
      </c>
      <c r="J16" s="1">
        <f>'(B) Base Bud Adj'!L15</f>
        <v>2405280</v>
      </c>
      <c r="L16" s="1">
        <f>'(C) 11-12 Expenditure Adjust.'!Q15</f>
        <v>-10424800</v>
      </c>
      <c r="N16" s="1">
        <f>'(D) Tuition Revenue'!AA15</f>
        <v>4200000</v>
      </c>
      <c r="Q16" s="1">
        <f t="shared" si="2"/>
        <v>61856220</v>
      </c>
      <c r="R16" s="1">
        <f t="shared" si="0"/>
        <v>35154000</v>
      </c>
      <c r="S16" s="1">
        <f t="shared" si="3"/>
        <v>7931000</v>
      </c>
      <c r="T16" s="1">
        <f t="shared" si="4"/>
        <v>104941220</v>
      </c>
    </row>
    <row r="17" spans="2:20" ht="12.75">
      <c r="B17" s="8" t="s">
        <v>7</v>
      </c>
      <c r="C17" s="22">
        <v>174152206.16</v>
      </c>
      <c r="D17" s="22"/>
      <c r="E17" s="268">
        <v>141905000</v>
      </c>
      <c r="F17" s="269">
        <v>23075000</v>
      </c>
      <c r="G17" s="1">
        <f t="shared" si="1"/>
        <v>339132206.15999997</v>
      </c>
      <c r="J17" s="1">
        <f>'(B) Base Bud Adj'!L16</f>
        <v>6487490</v>
      </c>
      <c r="L17" s="1">
        <f>'(C) 11-12 Expenditure Adjust.'!Q16</f>
        <v>-36320700</v>
      </c>
      <c r="N17" s="1">
        <f>'(D) Tuition Revenue'!AA16</f>
        <v>16559000</v>
      </c>
      <c r="Q17" s="1">
        <f t="shared" si="2"/>
        <v>144318996.16</v>
      </c>
      <c r="R17" s="1">
        <f t="shared" si="0"/>
        <v>158464000</v>
      </c>
      <c r="S17" s="1">
        <f t="shared" si="3"/>
        <v>23075000</v>
      </c>
      <c r="T17" s="1">
        <f t="shared" si="4"/>
        <v>325857996.15999997</v>
      </c>
    </row>
    <row r="18" spans="2:20" ht="12.75">
      <c r="B18" s="8" t="s">
        <v>8</v>
      </c>
      <c r="C18" s="22">
        <v>118213089</v>
      </c>
      <c r="D18" s="22"/>
      <c r="E18" s="268">
        <v>82557000</v>
      </c>
      <c r="F18" s="269">
        <v>15315000</v>
      </c>
      <c r="G18" s="1">
        <f t="shared" si="1"/>
        <v>216085089</v>
      </c>
      <c r="J18" s="1">
        <f>'(B) Base Bud Adj'!L17</f>
        <v>3616360</v>
      </c>
      <c r="L18" s="1">
        <f>'(C) 11-12 Expenditure Adjust.'!Q17</f>
        <v>-19363600</v>
      </c>
      <c r="N18" s="1">
        <f>'(D) Tuition Revenue'!AA17</f>
        <v>11978000</v>
      </c>
      <c r="Q18" s="1">
        <f t="shared" si="2"/>
        <v>102465849</v>
      </c>
      <c r="R18" s="1">
        <f t="shared" si="0"/>
        <v>94535000</v>
      </c>
      <c r="S18" s="1">
        <f t="shared" si="3"/>
        <v>15315000</v>
      </c>
      <c r="T18" s="1">
        <f t="shared" si="4"/>
        <v>212315849</v>
      </c>
    </row>
    <row r="19" spans="2:20" ht="12.75">
      <c r="B19" s="8" t="s">
        <v>9</v>
      </c>
      <c r="C19" s="22">
        <v>19008771</v>
      </c>
      <c r="D19" s="22"/>
      <c r="E19" s="268">
        <v>3177000</v>
      </c>
      <c r="F19" s="269">
        <v>3010000</v>
      </c>
      <c r="G19" s="1">
        <f t="shared" si="1"/>
        <v>25195771</v>
      </c>
      <c r="J19" s="1">
        <f>'(B) Base Bud Adj'!L18</f>
        <v>788470</v>
      </c>
      <c r="L19" s="1">
        <f>'(C) 11-12 Expenditure Adjust.'!Q18</f>
        <v>70900</v>
      </c>
      <c r="N19" s="1">
        <f>'(D) Tuition Revenue'!AA18</f>
        <v>545000</v>
      </c>
      <c r="Q19" s="1">
        <f t="shared" si="2"/>
        <v>19868141</v>
      </c>
      <c r="R19" s="1">
        <f t="shared" si="0"/>
        <v>3722000</v>
      </c>
      <c r="S19" s="1">
        <f t="shared" si="3"/>
        <v>3010000</v>
      </c>
      <c r="T19" s="1">
        <f t="shared" si="4"/>
        <v>26600141</v>
      </c>
    </row>
    <row r="20" spans="2:20" ht="12.75">
      <c r="B20" s="8" t="s">
        <v>10</v>
      </c>
      <c r="C20" s="22">
        <v>51596253</v>
      </c>
      <c r="D20" s="22"/>
      <c r="E20" s="268">
        <v>17507000</v>
      </c>
      <c r="F20" s="269">
        <v>1560000</v>
      </c>
      <c r="G20" s="1">
        <f t="shared" si="1"/>
        <v>70663253</v>
      </c>
      <c r="J20" s="1">
        <f>'(B) Base Bud Adj'!L19</f>
        <v>5078950</v>
      </c>
      <c r="L20" s="1">
        <f>'(C) 11-12 Expenditure Adjust.'!Q19</f>
        <v>-3832700</v>
      </c>
      <c r="N20" s="1">
        <f>'(D) Tuition Revenue'!AA19</f>
        <v>4353000</v>
      </c>
      <c r="Q20" s="1">
        <f t="shared" si="2"/>
        <v>52842503</v>
      </c>
      <c r="R20" s="1">
        <f t="shared" si="0"/>
        <v>21860000</v>
      </c>
      <c r="S20" s="1">
        <f t="shared" si="3"/>
        <v>1560000</v>
      </c>
      <c r="T20" s="1">
        <f t="shared" si="4"/>
        <v>76262503</v>
      </c>
    </row>
    <row r="21" spans="2:20" ht="12.75">
      <c r="B21" s="8" t="s">
        <v>11</v>
      </c>
      <c r="C21" s="22">
        <v>166726076</v>
      </c>
      <c r="D21" s="22"/>
      <c r="E21" s="268">
        <v>138150000</v>
      </c>
      <c r="F21" s="269">
        <v>32123000</v>
      </c>
      <c r="G21" s="1">
        <f t="shared" si="1"/>
        <v>336999076</v>
      </c>
      <c r="J21" s="1">
        <f>'(B) Base Bud Adj'!L20</f>
        <v>10771190</v>
      </c>
      <c r="L21" s="1">
        <f>'(C) 11-12 Expenditure Adjust.'!Q20</f>
        <v>-33809500</v>
      </c>
      <c r="N21" s="1">
        <f>'(D) Tuition Revenue'!AA20</f>
        <v>21743000</v>
      </c>
      <c r="Q21" s="1">
        <f t="shared" si="2"/>
        <v>143687766</v>
      </c>
      <c r="R21" s="1">
        <f t="shared" si="0"/>
        <v>159893000</v>
      </c>
      <c r="S21" s="1">
        <f t="shared" si="3"/>
        <v>32123000</v>
      </c>
      <c r="T21" s="1">
        <f t="shared" si="4"/>
        <v>335703766</v>
      </c>
    </row>
    <row r="22" spans="2:20" ht="12.75">
      <c r="B22" s="8" t="s">
        <v>12</v>
      </c>
      <c r="C22" s="22">
        <v>124212192</v>
      </c>
      <c r="D22" s="22"/>
      <c r="E22" s="268">
        <v>79609000</v>
      </c>
      <c r="F22" s="269">
        <v>11953000</v>
      </c>
      <c r="G22" s="1">
        <f t="shared" si="1"/>
        <v>215774192</v>
      </c>
      <c r="J22" s="1">
        <f>'(B) Base Bud Adj'!L21</f>
        <v>4019200</v>
      </c>
      <c r="L22" s="1">
        <f>'(C) 11-12 Expenditure Adjust.'!Q21</f>
        <v>-23371700</v>
      </c>
      <c r="N22" s="1">
        <f>'(D) Tuition Revenue'!AA21</f>
        <v>11874000</v>
      </c>
      <c r="Q22" s="1">
        <f t="shared" si="2"/>
        <v>104859692</v>
      </c>
      <c r="R22" s="1">
        <f t="shared" si="0"/>
        <v>91483000</v>
      </c>
      <c r="S22" s="1">
        <f t="shared" si="3"/>
        <v>11953000</v>
      </c>
      <c r="T22" s="1">
        <f t="shared" si="4"/>
        <v>208295692</v>
      </c>
    </row>
    <row r="23" spans="2:20" ht="12.75">
      <c r="B23" s="8" t="s">
        <v>13</v>
      </c>
      <c r="C23" s="22">
        <v>140795817</v>
      </c>
      <c r="D23" s="22"/>
      <c r="E23" s="268">
        <v>107084000</v>
      </c>
      <c r="F23" s="269">
        <v>15022000</v>
      </c>
      <c r="G23" s="1">
        <f t="shared" si="1"/>
        <v>262901817</v>
      </c>
      <c r="J23" s="1">
        <f>'(B) Base Bud Adj'!L22</f>
        <v>2614200</v>
      </c>
      <c r="L23" s="1">
        <f>'(C) 11-12 Expenditure Adjust.'!Q22</f>
        <v>-26388700</v>
      </c>
      <c r="N23" s="1">
        <f>'(D) Tuition Revenue'!AA22</f>
        <v>12627000</v>
      </c>
      <c r="Q23" s="1">
        <f t="shared" si="2"/>
        <v>117021317</v>
      </c>
      <c r="R23" s="1">
        <f t="shared" si="0"/>
        <v>119711000</v>
      </c>
      <c r="S23" s="1">
        <f t="shared" si="3"/>
        <v>15022000</v>
      </c>
      <c r="T23" s="1">
        <f t="shared" si="4"/>
        <v>251754317</v>
      </c>
    </row>
    <row r="24" spans="2:20" ht="12.75">
      <c r="B24" s="8" t="s">
        <v>14</v>
      </c>
      <c r="C24" s="22">
        <v>94053498</v>
      </c>
      <c r="D24" s="22"/>
      <c r="E24" s="268">
        <v>69050000</v>
      </c>
      <c r="F24" s="269">
        <v>11695000</v>
      </c>
      <c r="G24" s="1">
        <f t="shared" si="1"/>
        <v>174798498</v>
      </c>
      <c r="J24" s="1">
        <f>'(B) Base Bud Adj'!L23</f>
        <v>2812520</v>
      </c>
      <c r="L24" s="1">
        <f>'(C) 11-12 Expenditure Adjust.'!Q23</f>
        <v>-15561100</v>
      </c>
      <c r="N24" s="1">
        <f>'(D) Tuition Revenue'!AA23</f>
        <v>8428000</v>
      </c>
      <c r="Q24" s="1">
        <f t="shared" si="2"/>
        <v>81304918</v>
      </c>
      <c r="R24" s="1">
        <f t="shared" si="0"/>
        <v>77478000</v>
      </c>
      <c r="S24" s="1">
        <f t="shared" si="3"/>
        <v>11695000</v>
      </c>
      <c r="T24" s="1">
        <f t="shared" si="4"/>
        <v>170477918</v>
      </c>
    </row>
    <row r="25" spans="2:20" ht="12.75">
      <c r="B25" s="8" t="s">
        <v>15</v>
      </c>
      <c r="C25" s="22">
        <v>185949676</v>
      </c>
      <c r="D25" s="22"/>
      <c r="E25" s="268">
        <v>134423000</v>
      </c>
      <c r="F25" s="269">
        <v>31552000</v>
      </c>
      <c r="G25" s="1">
        <f t="shared" si="1"/>
        <v>351924676</v>
      </c>
      <c r="J25" s="1">
        <f>'(B) Base Bud Adj'!L24</f>
        <v>-1971290</v>
      </c>
      <c r="L25" s="1">
        <f>'(C) 11-12 Expenditure Adjust.'!Q24</f>
        <v>-38288600</v>
      </c>
      <c r="N25" s="1">
        <f>'(D) Tuition Revenue'!AA24</f>
        <v>12931000</v>
      </c>
      <c r="Q25" s="1">
        <f t="shared" si="2"/>
        <v>145689786</v>
      </c>
      <c r="R25" s="1">
        <f t="shared" si="0"/>
        <v>147354000</v>
      </c>
      <c r="S25" s="1">
        <f t="shared" si="3"/>
        <v>31552000</v>
      </c>
      <c r="T25" s="1">
        <f t="shared" si="4"/>
        <v>324595786</v>
      </c>
    </row>
    <row r="26" spans="2:20" ht="12.75">
      <c r="B26" s="8" t="s">
        <v>16</v>
      </c>
      <c r="C26" s="22">
        <v>143863789</v>
      </c>
      <c r="D26" s="22"/>
      <c r="E26" s="268">
        <v>117100000</v>
      </c>
      <c r="F26" s="269">
        <v>30831000</v>
      </c>
      <c r="G26" s="1">
        <f t="shared" si="1"/>
        <v>291794789</v>
      </c>
      <c r="J26" s="1">
        <f>'(B) Base Bud Adj'!L25</f>
        <v>8499860</v>
      </c>
      <c r="L26" s="1">
        <f>'(C) 11-12 Expenditure Adjust.'!Q25</f>
        <v>-29651000</v>
      </c>
      <c r="N26" s="1">
        <f>'(D) Tuition Revenue'!AA25</f>
        <v>16322000</v>
      </c>
      <c r="Q26" s="1">
        <f t="shared" si="2"/>
        <v>122712649</v>
      </c>
      <c r="R26" s="1">
        <f t="shared" si="0"/>
        <v>133422000</v>
      </c>
      <c r="S26" s="1">
        <f t="shared" si="3"/>
        <v>30831000</v>
      </c>
      <c r="T26" s="1">
        <f t="shared" si="4"/>
        <v>286965649</v>
      </c>
    </row>
    <row r="27" spans="2:20" ht="12.75">
      <c r="B27" s="8" t="s">
        <v>17</v>
      </c>
      <c r="C27" s="22">
        <v>140513822</v>
      </c>
      <c r="D27" s="22"/>
      <c r="E27" s="268">
        <v>116456000</v>
      </c>
      <c r="F27" s="269">
        <v>24756000</v>
      </c>
      <c r="G27" s="1">
        <f t="shared" si="1"/>
        <v>281725822</v>
      </c>
      <c r="J27" s="1">
        <f>'(B) Base Bud Adj'!L26</f>
        <v>2185640</v>
      </c>
      <c r="L27" s="1">
        <f>'(C) 11-12 Expenditure Adjust.'!Q26</f>
        <v>-29704400</v>
      </c>
      <c r="N27" s="1">
        <f>'(D) Tuition Revenue'!AA26</f>
        <v>14355000</v>
      </c>
      <c r="Q27" s="1">
        <f t="shared" si="2"/>
        <v>112995062</v>
      </c>
      <c r="R27" s="1">
        <f t="shared" si="0"/>
        <v>130811000</v>
      </c>
      <c r="S27" s="1">
        <f t="shared" si="3"/>
        <v>24756000</v>
      </c>
      <c r="T27" s="1">
        <f t="shared" si="4"/>
        <v>268562062</v>
      </c>
    </row>
    <row r="28" spans="2:20" ht="12.75">
      <c r="B28" s="8" t="s">
        <v>18</v>
      </c>
      <c r="C28" s="22">
        <v>124855198</v>
      </c>
      <c r="D28" s="22"/>
      <c r="E28" s="268">
        <v>74889000</v>
      </c>
      <c r="F28" s="269">
        <v>28540000</v>
      </c>
      <c r="G28" s="1">
        <f t="shared" si="1"/>
        <v>228284198</v>
      </c>
      <c r="J28" s="1">
        <f>'(B) Base Bud Adj'!L27</f>
        <v>-960660</v>
      </c>
      <c r="L28" s="1">
        <f>'(C) 11-12 Expenditure Adjust.'!Q27</f>
        <v>-26070300</v>
      </c>
      <c r="N28" s="1">
        <f>'(D) Tuition Revenue'!AA27</f>
        <v>5198000</v>
      </c>
      <c r="Q28" s="1">
        <f t="shared" si="2"/>
        <v>97824238</v>
      </c>
      <c r="R28" s="1">
        <f t="shared" si="0"/>
        <v>80087000</v>
      </c>
      <c r="S28" s="1">
        <f t="shared" si="3"/>
        <v>28540000</v>
      </c>
      <c r="T28" s="1">
        <f t="shared" si="4"/>
        <v>206451238</v>
      </c>
    </row>
    <row r="29" spans="2:20" ht="12.75">
      <c r="B29" s="8" t="s">
        <v>19</v>
      </c>
      <c r="C29" s="22">
        <v>60198542</v>
      </c>
      <c r="D29" s="22"/>
      <c r="E29" s="268">
        <v>36053000</v>
      </c>
      <c r="F29" s="269">
        <v>5570000</v>
      </c>
      <c r="G29" s="1">
        <f t="shared" si="1"/>
        <v>101821542</v>
      </c>
      <c r="J29" s="1">
        <f>'(B) Base Bud Adj'!L28</f>
        <v>3537700</v>
      </c>
      <c r="L29" s="1">
        <f>'(C) 11-12 Expenditure Adjust.'!Q28</f>
        <v>-8397400</v>
      </c>
      <c r="N29" s="1">
        <f>'(D) Tuition Revenue'!AA28</f>
        <v>8202000</v>
      </c>
      <c r="Q29" s="1">
        <f t="shared" si="2"/>
        <v>55338842</v>
      </c>
      <c r="R29" s="1">
        <f t="shared" si="0"/>
        <v>44255000</v>
      </c>
      <c r="S29" s="1">
        <f t="shared" si="3"/>
        <v>5570000</v>
      </c>
      <c r="T29" s="1">
        <f t="shared" si="4"/>
        <v>105163842</v>
      </c>
    </row>
    <row r="30" spans="2:20" ht="12.75">
      <c r="B30" s="8" t="s">
        <v>20</v>
      </c>
      <c r="C30" s="22">
        <v>56137723</v>
      </c>
      <c r="D30" s="22"/>
      <c r="E30" s="268">
        <v>33212000</v>
      </c>
      <c r="F30" s="269">
        <v>4094000</v>
      </c>
      <c r="G30" s="1">
        <f t="shared" si="1"/>
        <v>93443723</v>
      </c>
      <c r="J30" s="1">
        <f>'(B) Base Bud Adj'!L29</f>
        <v>2327590</v>
      </c>
      <c r="L30" s="1">
        <f>'(C) 11-12 Expenditure Adjust.'!Q29</f>
        <v>-8601300</v>
      </c>
      <c r="N30" s="1">
        <f>'(D) Tuition Revenue'!AA29</f>
        <v>5684000</v>
      </c>
      <c r="Q30" s="1">
        <f t="shared" si="2"/>
        <v>49864013</v>
      </c>
      <c r="R30" s="1">
        <f t="shared" si="0"/>
        <v>38896000</v>
      </c>
      <c r="S30" s="1">
        <f>F30</f>
        <v>4094000</v>
      </c>
      <c r="T30" s="1">
        <f t="shared" si="4"/>
        <v>92854013</v>
      </c>
    </row>
    <row r="31" spans="2:20" ht="12.75">
      <c r="B31" s="8" t="s">
        <v>21</v>
      </c>
      <c r="C31" s="22">
        <v>56514337</v>
      </c>
      <c r="D31" s="22"/>
      <c r="E31" s="268">
        <v>33369000</v>
      </c>
      <c r="F31" s="269">
        <v>4234000</v>
      </c>
      <c r="G31" s="1">
        <f t="shared" si="1"/>
        <v>94117337</v>
      </c>
      <c r="J31" s="1">
        <f>'(B) Base Bud Adj'!L30</f>
        <v>-249440</v>
      </c>
      <c r="L31" s="1">
        <f>'(C) 11-12 Expenditure Adjust.'!Q30</f>
        <v>-7347600</v>
      </c>
      <c r="N31" s="1">
        <f>'(D) Tuition Revenue'!AA30</f>
        <v>2201000</v>
      </c>
      <c r="Q31" s="1">
        <f t="shared" si="2"/>
        <v>48917297</v>
      </c>
      <c r="R31" s="1">
        <f t="shared" si="0"/>
        <v>35570000</v>
      </c>
      <c r="S31" s="1">
        <f t="shared" si="3"/>
        <v>4234000</v>
      </c>
      <c r="T31" s="1">
        <f t="shared" si="4"/>
        <v>88721297</v>
      </c>
    </row>
    <row r="32" ht="9" customHeight="1"/>
    <row r="33" spans="2:24" s="7" customFormat="1" ht="15" customHeight="1">
      <c r="B33" s="11" t="s">
        <v>22</v>
      </c>
      <c r="C33" s="11">
        <f>SUM(C9:C32)</f>
        <v>2359434342.16</v>
      </c>
      <c r="D33" s="11"/>
      <c r="E33" s="11">
        <f>SUM(E9:E32)</f>
        <v>1661490000</v>
      </c>
      <c r="F33" s="11">
        <f>SUM(F9:F31)</f>
        <v>320210000</v>
      </c>
      <c r="G33" s="11">
        <f>SUM(G9:G32)</f>
        <v>4341134342.16</v>
      </c>
      <c r="H33" s="9"/>
      <c r="I33" s="9"/>
      <c r="J33" s="11">
        <f>SUM(J9:J32)</f>
        <v>82932800</v>
      </c>
      <c r="K33" s="11"/>
      <c r="L33" s="11">
        <f>SUM(L9:L32)</f>
        <v>-421835000</v>
      </c>
      <c r="M33" s="11"/>
      <c r="N33" s="11">
        <f>SUM(N9:N32)</f>
        <v>223915000</v>
      </c>
      <c r="O33" s="11"/>
      <c r="P33" s="9"/>
      <c r="Q33" s="11">
        <f>SUM(Q9:Q32)</f>
        <v>2020532142.1599998</v>
      </c>
      <c r="R33" s="11">
        <f>SUM(R9:R32)</f>
        <v>1885405000</v>
      </c>
      <c r="S33" s="11">
        <f>SUM(S9:S32)</f>
        <v>320210000</v>
      </c>
      <c r="T33" s="11">
        <f>SUM(T9:T32)</f>
        <v>4226147142.16</v>
      </c>
      <c r="V33" s="1"/>
      <c r="W33" s="1"/>
      <c r="X33" s="1"/>
    </row>
    <row r="34" ht="9" customHeight="1"/>
    <row r="35" spans="2:20" ht="12.75" customHeight="1">
      <c r="B35" s="1" t="s">
        <v>23</v>
      </c>
      <c r="C35" s="1">
        <v>74466672</v>
      </c>
      <c r="E35" s="1">
        <v>0</v>
      </c>
      <c r="F35" s="1">
        <v>0</v>
      </c>
      <c r="G35" s="1">
        <f>SUM(C35:F35)</f>
        <v>74466672</v>
      </c>
      <c r="J35" s="1">
        <f>'(B) Base Bud Adj'!L34</f>
        <v>805680</v>
      </c>
      <c r="L35" s="1">
        <f>'(C) 11-12 Expenditure Adjust.'!Q34</f>
        <v>-10837000</v>
      </c>
      <c r="N35" s="1">
        <f>'(D) Tuition Revenue'!AA34</f>
        <v>0</v>
      </c>
      <c r="Q35" s="1">
        <f>C35+J35+L35</f>
        <v>64435352</v>
      </c>
      <c r="R35" s="1">
        <f>E35+N35</f>
        <v>0</v>
      </c>
      <c r="S35" s="1">
        <f>F35</f>
        <v>0</v>
      </c>
      <c r="T35" s="1">
        <f>SUM(Q35:S35)</f>
        <v>64435352</v>
      </c>
    </row>
    <row r="36" spans="2:20" ht="12.75" customHeight="1">
      <c r="B36" s="10" t="s">
        <v>30</v>
      </c>
      <c r="C36" s="1">
        <v>1063735</v>
      </c>
      <c r="E36" s="1">
        <v>0</v>
      </c>
      <c r="F36" s="1">
        <v>0</v>
      </c>
      <c r="G36" s="1">
        <f>SUM(C36:F36)</f>
        <v>1063735</v>
      </c>
      <c r="J36" s="1">
        <f>'(B) Base Bud Adj'!L35</f>
        <v>-82000</v>
      </c>
      <c r="L36" s="1">
        <f>'(C) 11-12 Expenditure Adjust.'!Q35</f>
        <v>0</v>
      </c>
      <c r="N36" s="1">
        <f>'(D) Tuition Revenue'!AA35</f>
        <v>297000</v>
      </c>
      <c r="Q36" s="1">
        <f>C36+J36+L36</f>
        <v>981735</v>
      </c>
      <c r="R36" s="1">
        <f>E36+N36</f>
        <v>297000</v>
      </c>
      <c r="S36" s="1">
        <f>F36</f>
        <v>0</v>
      </c>
      <c r="T36" s="1">
        <f>SUM(Q36:S36)</f>
        <v>1278735</v>
      </c>
    </row>
    <row r="37" spans="2:20" ht="12.75" customHeight="1">
      <c r="B37" s="1" t="s">
        <v>24</v>
      </c>
      <c r="C37" s="1">
        <v>2414496</v>
      </c>
      <c r="E37" s="270">
        <v>2574000</v>
      </c>
      <c r="F37" s="1">
        <v>0</v>
      </c>
      <c r="G37" s="1">
        <f>SUM(C37:F37)</f>
        <v>4988496</v>
      </c>
      <c r="J37" s="1">
        <f>'(B) Base Bud Adj'!L36</f>
        <v>-145000</v>
      </c>
      <c r="L37" s="1">
        <f>'(C) 11-12 Expenditure Adjust.'!Q36</f>
        <v>0</v>
      </c>
      <c r="N37" s="1">
        <f>'(D) Tuition Revenue'!AA36</f>
        <v>-60000</v>
      </c>
      <c r="Q37" s="1">
        <f>C37+J37+L37</f>
        <v>2269496</v>
      </c>
      <c r="R37" s="1">
        <f>E37+N37</f>
        <v>2514000</v>
      </c>
      <c r="S37" s="1">
        <f>F37</f>
        <v>0</v>
      </c>
      <c r="T37" s="1">
        <f>SUM(Q37:S37)</f>
        <v>4783496</v>
      </c>
    </row>
    <row r="38" spans="2:20" ht="12.75" customHeight="1">
      <c r="B38" s="1" t="s">
        <v>25</v>
      </c>
      <c r="C38" s="1">
        <v>57800</v>
      </c>
      <c r="E38" s="1">
        <v>0</v>
      </c>
      <c r="F38" s="1">
        <v>0</v>
      </c>
      <c r="G38" s="1">
        <f>SUM(C38:F38)</f>
        <v>57800</v>
      </c>
      <c r="J38" s="1">
        <f>'(B) Base Bud Adj'!L37</f>
        <v>0</v>
      </c>
      <c r="L38" s="1">
        <f>'(C) 11-12 Expenditure Adjust.'!Q37</f>
        <v>0</v>
      </c>
      <c r="N38" s="1">
        <f>'(D) Tuition Revenue'!AA37</f>
        <v>57000</v>
      </c>
      <c r="Q38" s="1">
        <f>C38+J38+L38</f>
        <v>57800</v>
      </c>
      <c r="R38" s="1">
        <f>E38+N38</f>
        <v>57000</v>
      </c>
      <c r="S38" s="1">
        <f>F38</f>
        <v>0</v>
      </c>
      <c r="T38" s="1">
        <f>SUM(Q38:S38)</f>
        <v>114800</v>
      </c>
    </row>
    <row r="39" spans="2:20" ht="17.25" customHeight="1">
      <c r="B39" s="1" t="s">
        <v>26</v>
      </c>
      <c r="C39" s="1">
        <f>286550824-106552869+106552869</f>
        <v>286550824</v>
      </c>
      <c r="D39" s="291">
        <v>1</v>
      </c>
      <c r="E39" s="1">
        <v>0</v>
      </c>
      <c r="F39" s="387">
        <v>1000</v>
      </c>
      <c r="G39" s="1">
        <f>SUM(C39:F39)</f>
        <v>286551825</v>
      </c>
      <c r="J39" s="1">
        <f>'(B) Base Bud Adj'!L38</f>
        <v>-16226349</v>
      </c>
      <c r="L39" s="1">
        <f>'(C) 11-12 Expenditure Adjust.'!Q38</f>
        <v>-67328000</v>
      </c>
      <c r="N39" s="1">
        <f>'(D) Tuition Revenue'!AA38</f>
        <v>0</v>
      </c>
      <c r="P39" s="58"/>
      <c r="Q39" s="1">
        <f>C39+J39+L39</f>
        <v>202996475</v>
      </c>
      <c r="R39" s="1">
        <f>E39+N39</f>
        <v>0</v>
      </c>
      <c r="S39" s="1">
        <f>F39</f>
        <v>1000</v>
      </c>
      <c r="T39" s="1">
        <f>SUM(Q39:S39)</f>
        <v>202997475</v>
      </c>
    </row>
    <row r="40" ht="9" customHeight="1"/>
    <row r="41" spans="2:20" s="7" customFormat="1" ht="15" customHeight="1" thickBot="1">
      <c r="B41" s="12" t="s">
        <v>27</v>
      </c>
      <c r="C41" s="12">
        <f>SUM(C33:C39)</f>
        <v>2723987869.16</v>
      </c>
      <c r="D41" s="12"/>
      <c r="E41" s="12">
        <f>SUM(E33:E39)</f>
        <v>1664064000</v>
      </c>
      <c r="F41" s="12">
        <f>SUM(F33:F39)</f>
        <v>320211000</v>
      </c>
      <c r="G41" s="12">
        <f>SUM(G33:G39)</f>
        <v>4708262870.16</v>
      </c>
      <c r="H41" s="9"/>
      <c r="I41" s="9"/>
      <c r="J41" s="19">
        <f>SUM(J33:J39)</f>
        <v>67285131</v>
      </c>
      <c r="K41" s="19"/>
      <c r="L41" s="19">
        <f>SUM(L33:L39)</f>
        <v>-500000000</v>
      </c>
      <c r="M41" s="19"/>
      <c r="N41" s="19">
        <f>SUM(N33:N39)</f>
        <v>224209000</v>
      </c>
      <c r="O41" s="19"/>
      <c r="P41" s="9"/>
      <c r="Q41" s="12">
        <f>SUM(Q33:Q39)</f>
        <v>2291273000.16</v>
      </c>
      <c r="R41" s="12">
        <f>SUM(R33:R39)</f>
        <v>1888273000</v>
      </c>
      <c r="S41" s="12">
        <f>SUM(S33:S39)</f>
        <v>320211000</v>
      </c>
      <c r="T41" s="12">
        <f>SUM(T33:T39)</f>
        <v>4499757000.16</v>
      </c>
    </row>
    <row r="43" spans="1:4" ht="18">
      <c r="A43" s="52">
        <v>1</v>
      </c>
      <c r="B43" s="26" t="s">
        <v>188</v>
      </c>
      <c r="C43" s="24"/>
      <c r="D43" s="24"/>
    </row>
    <row r="44" spans="1:2" ht="18">
      <c r="A44" s="52">
        <v>2</v>
      </c>
      <c r="B44" s="37" t="s">
        <v>163</v>
      </c>
    </row>
    <row r="45" spans="5:20" ht="12.75">
      <c r="E45" s="24"/>
      <c r="F45" s="24"/>
      <c r="G45" s="24"/>
      <c r="H45" s="53"/>
      <c r="I45" s="53"/>
      <c r="J45" s="54"/>
      <c r="K45" s="54"/>
      <c r="L45" s="54"/>
      <c r="M45" s="54"/>
      <c r="N45" s="54"/>
      <c r="O45" s="54"/>
      <c r="P45" s="53"/>
      <c r="Q45" s="24"/>
      <c r="R45" s="24"/>
      <c r="S45" s="24"/>
      <c r="T45" s="24"/>
    </row>
    <row r="46" spans="3:20" ht="18" customHeight="1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51" ht="12.75">
      <c r="Q51" s="62"/>
    </row>
  </sheetData>
  <sheetProtection/>
  <mergeCells count="4">
    <mergeCell ref="C4:G4"/>
    <mergeCell ref="Q4:T4"/>
    <mergeCell ref="I4:O4"/>
    <mergeCell ref="J5:L5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5" sqref="J35"/>
    </sheetView>
  </sheetViews>
  <sheetFormatPr defaultColWidth="9.33203125" defaultRowHeight="12.75"/>
  <cols>
    <col min="1" max="1" width="24.5" style="269" customWidth="1"/>
    <col min="2" max="2" width="16.5" style="269" bestFit="1" customWidth="1"/>
    <col min="3" max="3" width="1.83203125" style="269" customWidth="1"/>
    <col min="4" max="4" width="13.33203125" style="296" bestFit="1" customWidth="1"/>
    <col min="5" max="5" width="1.83203125" style="296" customWidth="1"/>
    <col min="6" max="6" width="16.5" style="296" customWidth="1"/>
    <col min="7" max="7" width="1.83203125" style="296" customWidth="1"/>
    <col min="8" max="8" width="16.5" style="296" customWidth="1"/>
    <col min="9" max="9" width="1.83203125" style="296" customWidth="1"/>
    <col min="10" max="10" width="19.5" style="296" customWidth="1"/>
    <col min="11" max="11" width="2.33203125" style="296" customWidth="1"/>
    <col min="12" max="12" width="15.16015625" style="296" customWidth="1"/>
    <col min="13" max="13" width="2.33203125" style="296" customWidth="1"/>
    <col min="14" max="14" width="16.5" style="296" bestFit="1" customWidth="1"/>
    <col min="15" max="15" width="15" style="296" customWidth="1"/>
    <col min="16" max="16" width="5.83203125" style="296" customWidth="1"/>
    <col min="17" max="17" width="14.33203125" style="269" customWidth="1"/>
    <col min="18" max="20" width="12.33203125" style="269" bestFit="1" customWidth="1"/>
    <col min="21" max="21" width="2.33203125" style="269" customWidth="1"/>
    <col min="22" max="22" width="14.33203125" style="269" bestFit="1" customWidth="1"/>
    <col min="23" max="16384" width="9.33203125" style="269" customWidth="1"/>
  </cols>
  <sheetData>
    <row r="1" spans="1:17" ht="16.5">
      <c r="A1" s="50" t="s">
        <v>180</v>
      </c>
      <c r="B1" s="2"/>
      <c r="C1" s="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"/>
    </row>
    <row r="2" spans="1:17" ht="18.75">
      <c r="A2" s="81"/>
      <c r="B2" s="2"/>
      <c r="C2" s="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" t="s">
        <v>160</v>
      </c>
    </row>
    <row r="3" spans="2:22" s="55" customFormat="1" ht="14.25">
      <c r="B3" s="56">
        <f>-1</f>
        <v>-1</v>
      </c>
      <c r="D3" s="56">
        <v>-2</v>
      </c>
      <c r="E3" s="56"/>
      <c r="F3" s="57">
        <f>-3</f>
        <v>-3</v>
      </c>
      <c r="G3" s="57"/>
      <c r="H3" s="57">
        <f>-4</f>
        <v>-4</v>
      </c>
      <c r="I3" s="57"/>
      <c r="J3" s="56">
        <f>-5</f>
        <v>-5</v>
      </c>
      <c r="K3" s="56"/>
      <c r="L3" s="57">
        <v>-6</v>
      </c>
      <c r="M3" s="56"/>
      <c r="N3" s="57">
        <v>-7</v>
      </c>
      <c r="Q3" s="360" t="s">
        <v>126</v>
      </c>
      <c r="R3" s="360" t="s">
        <v>127</v>
      </c>
      <c r="S3" s="360" t="s">
        <v>128</v>
      </c>
      <c r="T3" s="360" t="s">
        <v>129</v>
      </c>
      <c r="U3" s="359"/>
      <c r="V3" s="359"/>
    </row>
    <row r="4" spans="2:22" s="20" customFormat="1" ht="6" customHeight="1">
      <c r="B4" s="25"/>
      <c r="D4" s="25"/>
      <c r="E4" s="25"/>
      <c r="F4" s="21"/>
      <c r="G4" s="21"/>
      <c r="H4" s="21"/>
      <c r="I4" s="21"/>
      <c r="J4" s="21"/>
      <c r="K4" s="25"/>
      <c r="L4" s="25"/>
      <c r="M4" s="25"/>
      <c r="N4" s="25"/>
      <c r="Q4" s="367"/>
      <c r="R4" s="367"/>
      <c r="S4" s="367"/>
      <c r="T4" s="367"/>
      <c r="U4" s="367"/>
      <c r="V4" s="367"/>
    </row>
    <row r="5" spans="1:22" s="293" customFormat="1" ht="76.5">
      <c r="A5" s="139"/>
      <c r="B5" s="373" t="s">
        <v>77</v>
      </c>
      <c r="C5" s="139"/>
      <c r="D5" s="139" t="s">
        <v>110</v>
      </c>
      <c r="E5" s="139"/>
      <c r="F5" s="139" t="s">
        <v>118</v>
      </c>
      <c r="G5" s="139"/>
      <c r="H5" s="139" t="s">
        <v>109</v>
      </c>
      <c r="I5" s="139"/>
      <c r="J5" s="139" t="s">
        <v>112</v>
      </c>
      <c r="K5" s="27"/>
      <c r="L5" s="30" t="s">
        <v>178</v>
      </c>
      <c r="M5" s="27"/>
      <c r="N5" s="30" t="s">
        <v>143</v>
      </c>
      <c r="Q5" s="352" t="s">
        <v>32</v>
      </c>
      <c r="R5" s="345" t="s">
        <v>79</v>
      </c>
      <c r="S5" s="345" t="s">
        <v>31</v>
      </c>
      <c r="T5" s="345" t="s">
        <v>125</v>
      </c>
      <c r="U5" s="345"/>
      <c r="V5" s="306" t="s">
        <v>124</v>
      </c>
    </row>
    <row r="6" spans="1:22" s="310" customFormat="1" ht="24" customHeight="1">
      <c r="A6" s="307"/>
      <c r="B6" s="374"/>
      <c r="C6" s="307"/>
      <c r="D6" s="307"/>
      <c r="E6" s="307"/>
      <c r="F6" s="309"/>
      <c r="G6" s="309"/>
      <c r="H6" s="309"/>
      <c r="I6" s="309"/>
      <c r="J6" s="309" t="s">
        <v>111</v>
      </c>
      <c r="K6" s="309"/>
      <c r="L6" s="308" t="s">
        <v>133</v>
      </c>
      <c r="M6" s="309"/>
      <c r="N6" s="308" t="s">
        <v>144</v>
      </c>
      <c r="Q6" s="353"/>
      <c r="R6" s="315"/>
      <c r="S6" s="315"/>
      <c r="T6" s="315"/>
      <c r="U6" s="315"/>
      <c r="V6" s="308" t="s">
        <v>130</v>
      </c>
    </row>
    <row r="7" spans="1:22" ht="8.25" customHeight="1">
      <c r="A7" s="294"/>
      <c r="B7" s="375"/>
      <c r="C7" s="294"/>
      <c r="D7" s="295"/>
      <c r="E7" s="295"/>
      <c r="F7" s="31"/>
      <c r="G7" s="31"/>
      <c r="H7" s="31"/>
      <c r="I7" s="31"/>
      <c r="J7" s="31"/>
      <c r="K7" s="31"/>
      <c r="L7" s="28"/>
      <c r="M7" s="31"/>
      <c r="N7" s="28"/>
      <c r="Q7" s="354"/>
      <c r="R7" s="227"/>
      <c r="S7" s="227"/>
      <c r="T7" s="227"/>
      <c r="U7" s="227"/>
      <c r="V7" s="299"/>
    </row>
    <row r="8" spans="1:22" s="45" customFormat="1" ht="15">
      <c r="A8" s="45" t="s">
        <v>0</v>
      </c>
      <c r="B8" s="46">
        <f>'(A) Budget Summary'!C9</f>
        <v>55175299</v>
      </c>
      <c r="C8" s="41"/>
      <c r="D8" s="39">
        <v>865860</v>
      </c>
      <c r="E8" s="41"/>
      <c r="F8" s="39">
        <v>85000</v>
      </c>
      <c r="G8" s="39"/>
      <c r="H8" s="39"/>
      <c r="I8" s="39"/>
      <c r="J8" s="39">
        <f>ROUND(('(E) 2011-12 FTES '!D8*7305)/100,0)*100</f>
        <v>1395300</v>
      </c>
      <c r="K8" s="39"/>
      <c r="L8" s="46">
        <f>SUM(D8:J8)</f>
        <v>2346160</v>
      </c>
      <c r="M8" s="39"/>
      <c r="N8" s="46">
        <f>B8+L8</f>
        <v>57521459</v>
      </c>
      <c r="Q8" s="355">
        <v>752000</v>
      </c>
      <c r="R8" s="229">
        <v>66000</v>
      </c>
      <c r="S8" s="229">
        <v>111087.32506820773</v>
      </c>
      <c r="T8" s="229">
        <v>30000</v>
      </c>
      <c r="U8" s="229"/>
      <c r="V8" s="300">
        <f>SUM(Q8:U8)</f>
        <v>959087.3250682077</v>
      </c>
    </row>
    <row r="9" spans="1:22" s="26" customFormat="1" ht="15">
      <c r="A9" s="26" t="s">
        <v>1</v>
      </c>
      <c r="B9" s="47">
        <f>'(A) Budget Summary'!C10</f>
        <v>45969040</v>
      </c>
      <c r="C9" s="37"/>
      <c r="D9" s="59">
        <v>665250</v>
      </c>
      <c r="E9" s="37"/>
      <c r="F9" s="40"/>
      <c r="G9" s="40"/>
      <c r="H9" s="40"/>
      <c r="I9" s="40"/>
      <c r="J9" s="40">
        <f>ROUND(('(E) 2011-12 FTES '!D9*7305)/100,0)*100</f>
        <v>1409900</v>
      </c>
      <c r="K9" s="40"/>
      <c r="L9" s="47">
        <f>SUM(D9:J9)</f>
        <v>2075150</v>
      </c>
      <c r="M9" s="40"/>
      <c r="N9" s="47">
        <f>B9+L9</f>
        <v>48044190</v>
      </c>
      <c r="Q9" s="356">
        <v>553000</v>
      </c>
      <c r="R9" s="228">
        <v>62000</v>
      </c>
      <c r="S9" s="228">
        <v>84073.2018361641</v>
      </c>
      <c r="T9" s="228">
        <v>207000</v>
      </c>
      <c r="U9" s="228"/>
      <c r="V9" s="301">
        <f>SUM(Q9:U9)</f>
        <v>906073.2018361641</v>
      </c>
    </row>
    <row r="10" spans="1:22" s="26" customFormat="1" ht="15">
      <c r="A10" s="26" t="s">
        <v>2</v>
      </c>
      <c r="B10" s="47">
        <f>'(A) Budget Summary'!C11</f>
        <v>102076032</v>
      </c>
      <c r="C10" s="37"/>
      <c r="D10" s="59">
        <v>1768510</v>
      </c>
      <c r="E10" s="37"/>
      <c r="F10" s="40"/>
      <c r="G10" s="40"/>
      <c r="H10" s="40"/>
      <c r="I10" s="40"/>
      <c r="J10" s="40">
        <f>ROUND(('(E) 2011-12 FTES '!D10*7305)/100,0)*100</f>
        <v>1709400</v>
      </c>
      <c r="K10" s="40"/>
      <c r="L10" s="47">
        <f aca="true" t="shared" si="0" ref="L10:L30">SUM(D10:J10)</f>
        <v>3477910</v>
      </c>
      <c r="M10" s="40"/>
      <c r="N10" s="47">
        <f aca="true" t="shared" si="1" ref="N10:N30">B10+L10</f>
        <v>105553942</v>
      </c>
      <c r="Q10" s="356">
        <v>1660000</v>
      </c>
      <c r="R10" s="228">
        <v>142000</v>
      </c>
      <c r="S10" s="228">
        <v>235507.2985246771</v>
      </c>
      <c r="T10" s="228">
        <v>0</v>
      </c>
      <c r="U10" s="228"/>
      <c r="V10" s="301">
        <f aca="true" t="shared" si="2" ref="V10:V30">SUM(Q10:U10)</f>
        <v>2037507.298524677</v>
      </c>
    </row>
    <row r="11" spans="1:22" s="26" customFormat="1" ht="15">
      <c r="A11" s="26" t="s">
        <v>3</v>
      </c>
      <c r="B11" s="47">
        <f>'(A) Budget Summary'!C12</f>
        <v>66950742</v>
      </c>
      <c r="C11" s="37"/>
      <c r="D11" s="59">
        <v>1083590</v>
      </c>
      <c r="E11" s="37"/>
      <c r="F11" s="40"/>
      <c r="G11" s="40"/>
      <c r="H11" s="40"/>
      <c r="I11" s="40"/>
      <c r="J11" s="40">
        <f>ROUND(('(E) 2011-12 FTES '!D11*7305)/100,0)*100</f>
        <v>2688200</v>
      </c>
      <c r="K11" s="40"/>
      <c r="L11" s="47">
        <f t="shared" si="0"/>
        <v>3771790</v>
      </c>
      <c r="M11" s="40"/>
      <c r="N11" s="47">
        <f t="shared" si="1"/>
        <v>70722532</v>
      </c>
      <c r="Q11" s="356">
        <v>910000</v>
      </c>
      <c r="R11" s="228">
        <v>73000</v>
      </c>
      <c r="S11" s="228">
        <v>136217.21022602738</v>
      </c>
      <c r="T11" s="228">
        <v>0</v>
      </c>
      <c r="U11" s="228"/>
      <c r="V11" s="301">
        <f t="shared" si="2"/>
        <v>1119217.2102260273</v>
      </c>
    </row>
    <row r="12" spans="1:22" s="26" customFormat="1" ht="15">
      <c r="A12" s="26" t="s">
        <v>29</v>
      </c>
      <c r="B12" s="47">
        <f>'(A) Budget Summary'!C13</f>
        <v>77629521</v>
      </c>
      <c r="C12" s="37"/>
      <c r="D12" s="59">
        <v>1605700</v>
      </c>
      <c r="E12" s="37"/>
      <c r="F12" s="40"/>
      <c r="G12" s="40"/>
      <c r="H12" s="40"/>
      <c r="I12" s="40"/>
      <c r="J12" s="40">
        <f>ROUND(('(E) 2011-12 FTES '!D12*7305)/100,0)*100</f>
        <v>1008100</v>
      </c>
      <c r="K12" s="40"/>
      <c r="L12" s="47">
        <f t="shared" si="0"/>
        <v>2613800</v>
      </c>
      <c r="M12" s="40"/>
      <c r="N12" s="47">
        <f t="shared" si="1"/>
        <v>80243321</v>
      </c>
      <c r="Q12" s="356">
        <v>1346000</v>
      </c>
      <c r="R12" s="228">
        <v>118000</v>
      </c>
      <c r="S12" s="228">
        <v>189287.45077870338</v>
      </c>
      <c r="T12" s="228">
        <v>12000</v>
      </c>
      <c r="U12" s="228"/>
      <c r="V12" s="301">
        <f t="shared" si="2"/>
        <v>1665287.4507787034</v>
      </c>
    </row>
    <row r="13" spans="1:22" s="26" customFormat="1" ht="15">
      <c r="A13" s="26" t="s">
        <v>4</v>
      </c>
      <c r="B13" s="47">
        <f>'(A) Budget Summary'!C14</f>
        <v>133844322</v>
      </c>
      <c r="C13" s="37"/>
      <c r="D13" s="59">
        <v>2139280</v>
      </c>
      <c r="E13" s="37"/>
      <c r="F13" s="40"/>
      <c r="G13" s="40"/>
      <c r="H13" s="40"/>
      <c r="I13" s="40"/>
      <c r="J13" s="40">
        <f>ROUND(('(E) 2011-12 FTES '!D13*7305)/100,0)*100</f>
        <v>2279200</v>
      </c>
      <c r="K13" s="40"/>
      <c r="L13" s="47">
        <f t="shared" si="0"/>
        <v>4418480</v>
      </c>
      <c r="M13" s="40"/>
      <c r="N13" s="47">
        <f t="shared" si="1"/>
        <v>138262802</v>
      </c>
      <c r="Q13" s="356">
        <v>1853000</v>
      </c>
      <c r="R13" s="228">
        <v>167000</v>
      </c>
      <c r="S13" s="228">
        <v>273611.4187083334</v>
      </c>
      <c r="T13" s="228">
        <v>28000</v>
      </c>
      <c r="U13" s="228"/>
      <c r="V13" s="301">
        <f t="shared" si="2"/>
        <v>2321611.4187083333</v>
      </c>
    </row>
    <row r="14" spans="1:22" s="26" customFormat="1" ht="15">
      <c r="A14" s="26" t="s">
        <v>5</v>
      </c>
      <c r="B14" s="47">
        <f>'(A) Budget Summary'!C15</f>
        <v>151122657</v>
      </c>
      <c r="C14" s="37"/>
      <c r="D14" s="59">
        <v>2937950</v>
      </c>
      <c r="E14" s="37"/>
      <c r="F14" s="40"/>
      <c r="G14" s="40"/>
      <c r="H14" s="40"/>
      <c r="I14" s="40"/>
      <c r="J14" s="40">
        <f>ROUND(('(E) 2011-12 FTES '!D14*7305)/100,0)*100</f>
        <v>9328500</v>
      </c>
      <c r="K14" s="40"/>
      <c r="L14" s="47">
        <f t="shared" si="0"/>
        <v>12266450</v>
      </c>
      <c r="M14" s="40"/>
      <c r="N14" s="47">
        <f t="shared" si="1"/>
        <v>163389107</v>
      </c>
      <c r="Q14" s="356">
        <v>2445000</v>
      </c>
      <c r="R14" s="228">
        <v>233000</v>
      </c>
      <c r="S14" s="228">
        <v>364147.7023122474</v>
      </c>
      <c r="T14" s="228">
        <v>275000</v>
      </c>
      <c r="U14" s="228"/>
      <c r="V14" s="301">
        <f t="shared" si="2"/>
        <v>3317147.7023122474</v>
      </c>
    </row>
    <row r="15" spans="1:22" s="26" customFormat="1" ht="15">
      <c r="A15" s="26" t="s">
        <v>6</v>
      </c>
      <c r="B15" s="47">
        <f>'(A) Budget Summary'!C16</f>
        <v>69875740</v>
      </c>
      <c r="C15" s="37"/>
      <c r="D15" s="59">
        <v>1046580</v>
      </c>
      <c r="E15" s="37"/>
      <c r="F15" s="40"/>
      <c r="G15" s="40"/>
      <c r="H15" s="40"/>
      <c r="I15" s="40"/>
      <c r="J15" s="40">
        <f>ROUND(('(E) 2011-12 FTES '!D15*7305)/100,0)*100</f>
        <v>1358700</v>
      </c>
      <c r="K15" s="40"/>
      <c r="L15" s="47">
        <f t="shared" si="0"/>
        <v>2405280</v>
      </c>
      <c r="M15" s="40"/>
      <c r="N15" s="47">
        <f t="shared" si="1"/>
        <v>72281020</v>
      </c>
      <c r="Q15" s="356">
        <v>927000</v>
      </c>
      <c r="R15" s="228">
        <v>87000</v>
      </c>
      <c r="S15" s="228">
        <v>176567.4057416558</v>
      </c>
      <c r="T15" s="228">
        <v>0</v>
      </c>
      <c r="U15" s="228"/>
      <c r="V15" s="301">
        <f t="shared" si="2"/>
        <v>1190567.4057416557</v>
      </c>
    </row>
    <row r="16" spans="1:22" s="26" customFormat="1" ht="15">
      <c r="A16" s="26" t="s">
        <v>7</v>
      </c>
      <c r="B16" s="47">
        <f>'(A) Budget Summary'!C17</f>
        <v>174152206.16</v>
      </c>
      <c r="C16" s="37"/>
      <c r="D16" s="59">
        <v>3412090</v>
      </c>
      <c r="E16" s="37"/>
      <c r="F16" s="40"/>
      <c r="G16" s="40"/>
      <c r="H16" s="40"/>
      <c r="I16" s="40"/>
      <c r="J16" s="40">
        <f>ROUND(('(E) 2011-12 FTES '!D16*7305)/100,0)*100</f>
        <v>3075400</v>
      </c>
      <c r="K16" s="40"/>
      <c r="L16" s="47">
        <f t="shared" si="0"/>
        <v>6487490</v>
      </c>
      <c r="M16" s="40"/>
      <c r="N16" s="47">
        <f t="shared" si="1"/>
        <v>180639696.16</v>
      </c>
      <c r="Q16" s="356">
        <v>2676000</v>
      </c>
      <c r="R16" s="228">
        <v>227000</v>
      </c>
      <c r="S16" s="228">
        <v>395194.21554424573</v>
      </c>
      <c r="T16" s="228">
        <v>0</v>
      </c>
      <c r="U16" s="228"/>
      <c r="V16" s="301">
        <f t="shared" si="2"/>
        <v>3298194.2155442457</v>
      </c>
    </row>
    <row r="17" spans="1:22" s="26" customFormat="1" ht="15">
      <c r="A17" s="26" t="s">
        <v>8</v>
      </c>
      <c r="B17" s="47">
        <f>'(A) Budget Summary'!C18</f>
        <v>118213089</v>
      </c>
      <c r="C17" s="37"/>
      <c r="D17" s="59">
        <v>2016560</v>
      </c>
      <c r="E17" s="37"/>
      <c r="F17" s="40"/>
      <c r="G17" s="40"/>
      <c r="H17" s="40"/>
      <c r="I17" s="40"/>
      <c r="J17" s="40">
        <f>ROUND(('(E) 2011-12 FTES '!D17*7305)/100,0)*100</f>
        <v>1599800</v>
      </c>
      <c r="K17" s="40"/>
      <c r="L17" s="47">
        <f t="shared" si="0"/>
        <v>3616360</v>
      </c>
      <c r="M17" s="40"/>
      <c r="N17" s="47">
        <f t="shared" si="1"/>
        <v>121829449</v>
      </c>
      <c r="Q17" s="356">
        <v>1586000</v>
      </c>
      <c r="R17" s="228">
        <v>140000</v>
      </c>
      <c r="S17" s="228">
        <v>307139.84518216096</v>
      </c>
      <c r="T17" s="228">
        <v>94000</v>
      </c>
      <c r="U17" s="228"/>
      <c r="V17" s="301">
        <f t="shared" si="2"/>
        <v>2127139.845182161</v>
      </c>
    </row>
    <row r="18" spans="1:22" s="26" customFormat="1" ht="15">
      <c r="A18" s="26" t="s">
        <v>9</v>
      </c>
      <c r="B18" s="47">
        <f>'(A) Budget Summary'!C19</f>
        <v>19008771</v>
      </c>
      <c r="C18" s="37"/>
      <c r="D18" s="59">
        <v>240570</v>
      </c>
      <c r="E18" s="37"/>
      <c r="F18" s="40"/>
      <c r="G18" s="40"/>
      <c r="H18" s="40"/>
      <c r="I18" s="40"/>
      <c r="J18" s="40">
        <f>ROUND(('(E) 2011-12 FTES '!D18*7305)/100,0)*100</f>
        <v>547900</v>
      </c>
      <c r="K18" s="40"/>
      <c r="L18" s="47">
        <f t="shared" si="0"/>
        <v>788470</v>
      </c>
      <c r="M18" s="40"/>
      <c r="N18" s="47">
        <f t="shared" si="1"/>
        <v>19797241</v>
      </c>
      <c r="Q18" s="356">
        <v>206000</v>
      </c>
      <c r="R18" s="228">
        <v>20000</v>
      </c>
      <c r="S18" s="228">
        <v>53515.894767934355</v>
      </c>
      <c r="T18" s="228">
        <v>2000</v>
      </c>
      <c r="U18" s="228"/>
      <c r="V18" s="301">
        <f t="shared" si="2"/>
        <v>281515.89476793434</v>
      </c>
    </row>
    <row r="19" spans="1:22" s="26" customFormat="1" ht="15">
      <c r="A19" s="26" t="s">
        <v>10</v>
      </c>
      <c r="B19" s="47">
        <f>'(A) Budget Summary'!C20</f>
        <v>51596253</v>
      </c>
      <c r="C19" s="37"/>
      <c r="D19" s="59">
        <v>695950</v>
      </c>
      <c r="E19" s="37"/>
      <c r="F19" s="40"/>
      <c r="G19" s="40"/>
      <c r="H19" s="40"/>
      <c r="I19" s="40"/>
      <c r="J19" s="40">
        <f>ROUND(('(E) 2011-12 FTES '!D19*7305)/100,0)*100</f>
        <v>4383000</v>
      </c>
      <c r="K19" s="40"/>
      <c r="L19" s="47">
        <f t="shared" si="0"/>
        <v>5078950</v>
      </c>
      <c r="M19" s="40"/>
      <c r="N19" s="47">
        <f t="shared" si="1"/>
        <v>56675203</v>
      </c>
      <c r="Q19" s="356">
        <v>534000</v>
      </c>
      <c r="R19" s="228">
        <v>54000</v>
      </c>
      <c r="S19" s="228">
        <v>97563.34940928966</v>
      </c>
      <c r="T19" s="228">
        <v>0</v>
      </c>
      <c r="U19" s="228"/>
      <c r="V19" s="301">
        <f t="shared" si="2"/>
        <v>685563.3494092897</v>
      </c>
    </row>
    <row r="20" spans="1:22" s="26" customFormat="1" ht="15">
      <c r="A20" s="26" t="s">
        <v>11</v>
      </c>
      <c r="B20" s="47">
        <f>'(A) Budget Summary'!C21</f>
        <v>166726076</v>
      </c>
      <c r="C20" s="37"/>
      <c r="D20" s="59">
        <v>3144790</v>
      </c>
      <c r="E20" s="37"/>
      <c r="F20" s="40"/>
      <c r="G20" s="40"/>
      <c r="H20" s="40"/>
      <c r="I20" s="40"/>
      <c r="J20" s="40">
        <f>ROUND(('(E) 2011-12 FTES '!D20*7305)/100,0)*100</f>
        <v>7626400</v>
      </c>
      <c r="K20" s="40"/>
      <c r="L20" s="47">
        <f t="shared" si="0"/>
        <v>10771190</v>
      </c>
      <c r="M20" s="40"/>
      <c r="N20" s="47">
        <f t="shared" si="1"/>
        <v>177497266</v>
      </c>
      <c r="Q20" s="356">
        <v>2554000</v>
      </c>
      <c r="R20" s="228">
        <v>226000</v>
      </c>
      <c r="S20" s="228">
        <v>372738.25567797635</v>
      </c>
      <c r="T20" s="228">
        <v>0</v>
      </c>
      <c r="U20" s="228"/>
      <c r="V20" s="301">
        <f t="shared" si="2"/>
        <v>3152738.255677976</v>
      </c>
    </row>
    <row r="21" spans="1:22" s="26" customFormat="1" ht="15">
      <c r="A21" s="26" t="s">
        <v>12</v>
      </c>
      <c r="B21" s="47">
        <f>'(A) Budget Summary'!C22</f>
        <v>124212192</v>
      </c>
      <c r="C21" s="37"/>
      <c r="D21" s="59">
        <v>2229500</v>
      </c>
      <c r="E21" s="37"/>
      <c r="F21" s="40"/>
      <c r="G21" s="40"/>
      <c r="H21" s="40"/>
      <c r="I21" s="40"/>
      <c r="J21" s="40">
        <f>ROUND(('(E) 2011-12 FTES '!D21*7305)/100,0)*100</f>
        <v>1789700</v>
      </c>
      <c r="K21" s="40"/>
      <c r="L21" s="47">
        <f t="shared" si="0"/>
        <v>4019200</v>
      </c>
      <c r="M21" s="40"/>
      <c r="N21" s="47">
        <f t="shared" si="1"/>
        <v>128231392</v>
      </c>
      <c r="Q21" s="356">
        <v>1819000</v>
      </c>
      <c r="R21" s="228">
        <v>161000</v>
      </c>
      <c r="S21" s="228">
        <v>295373.560426324</v>
      </c>
      <c r="T21" s="228">
        <v>887000</v>
      </c>
      <c r="U21" s="228"/>
      <c r="V21" s="301">
        <f t="shared" si="2"/>
        <v>3162373.560426324</v>
      </c>
    </row>
    <row r="22" spans="1:22" s="26" customFormat="1" ht="15">
      <c r="A22" s="26" t="s">
        <v>13</v>
      </c>
      <c r="B22" s="47">
        <f>'(A) Budget Summary'!C23</f>
        <v>140795817</v>
      </c>
      <c r="C22" s="37"/>
      <c r="D22" s="59">
        <v>2614200</v>
      </c>
      <c r="E22" s="37"/>
      <c r="F22" s="40"/>
      <c r="G22" s="40"/>
      <c r="H22" s="40"/>
      <c r="I22" s="40"/>
      <c r="J22" s="40">
        <f>ROUND(('(E) 2011-12 FTES '!D22*7305)/100,0)*100</f>
        <v>0</v>
      </c>
      <c r="K22" s="40"/>
      <c r="L22" s="47">
        <f t="shared" si="0"/>
        <v>2614200</v>
      </c>
      <c r="M22" s="40"/>
      <c r="N22" s="47">
        <f t="shared" si="1"/>
        <v>143410017</v>
      </c>
      <c r="Q22" s="356">
        <v>2283000</v>
      </c>
      <c r="R22" s="228">
        <v>198000</v>
      </c>
      <c r="S22" s="228">
        <v>291091.4999794068</v>
      </c>
      <c r="T22" s="228">
        <v>1327000</v>
      </c>
      <c r="U22" s="228"/>
      <c r="V22" s="301">
        <f t="shared" si="2"/>
        <v>4099091.4999794066</v>
      </c>
    </row>
    <row r="23" spans="1:22" s="26" customFormat="1" ht="15">
      <c r="A23" s="26" t="s">
        <v>14</v>
      </c>
      <c r="B23" s="47">
        <f>'(A) Budget Summary'!C24</f>
        <v>94053498</v>
      </c>
      <c r="C23" s="37"/>
      <c r="D23" s="59">
        <v>1556020</v>
      </c>
      <c r="E23" s="37"/>
      <c r="F23" s="40"/>
      <c r="G23" s="40"/>
      <c r="H23" s="40"/>
      <c r="I23" s="40"/>
      <c r="J23" s="40">
        <f>ROUND(('(E) 2011-12 FTES '!D23*7305)/100,0)*100</f>
        <v>1256500</v>
      </c>
      <c r="K23" s="40"/>
      <c r="L23" s="47">
        <f t="shared" si="0"/>
        <v>2812520</v>
      </c>
      <c r="M23" s="40"/>
      <c r="N23" s="47">
        <f t="shared" si="1"/>
        <v>96866018</v>
      </c>
      <c r="Q23" s="356">
        <v>1441000</v>
      </c>
      <c r="R23" s="228">
        <v>114000</v>
      </c>
      <c r="S23" s="228">
        <v>226252.92033370005</v>
      </c>
      <c r="T23" s="228">
        <v>0</v>
      </c>
      <c r="U23" s="228"/>
      <c r="V23" s="301">
        <f t="shared" si="2"/>
        <v>1781252.9203337</v>
      </c>
    </row>
    <row r="24" spans="1:22" s="26" customFormat="1" ht="15">
      <c r="A24" s="26" t="s">
        <v>15</v>
      </c>
      <c r="B24" s="47">
        <f>'(A) Budget Summary'!C25</f>
        <v>185949676</v>
      </c>
      <c r="C24" s="37"/>
      <c r="D24" s="59">
        <v>3339410</v>
      </c>
      <c r="E24" s="37"/>
      <c r="F24" s="40"/>
      <c r="G24" s="40"/>
      <c r="H24" s="40"/>
      <c r="I24" s="40"/>
      <c r="J24" s="40">
        <f>ROUND(('(E) 2011-12 FTES '!D24*7305)/100,0)*100</f>
        <v>-5310700</v>
      </c>
      <c r="K24" s="40"/>
      <c r="L24" s="47">
        <f t="shared" si="0"/>
        <v>-1971290</v>
      </c>
      <c r="M24" s="40"/>
      <c r="N24" s="47">
        <f t="shared" si="1"/>
        <v>183978386</v>
      </c>
      <c r="Q24" s="356">
        <v>3005000</v>
      </c>
      <c r="R24" s="228">
        <v>254000</v>
      </c>
      <c r="S24" s="228">
        <v>449286.96819622075</v>
      </c>
      <c r="T24" s="228">
        <v>354000</v>
      </c>
      <c r="U24" s="228"/>
      <c r="V24" s="301">
        <f t="shared" si="2"/>
        <v>4062286.9681962207</v>
      </c>
    </row>
    <row r="25" spans="1:22" s="26" customFormat="1" ht="15">
      <c r="A25" s="26" t="s">
        <v>16</v>
      </c>
      <c r="B25" s="47">
        <f>'(A) Budget Summary'!C26</f>
        <v>143863789</v>
      </c>
      <c r="C25" s="37"/>
      <c r="D25" s="59">
        <v>2977260</v>
      </c>
      <c r="E25" s="37"/>
      <c r="F25" s="40"/>
      <c r="G25" s="40"/>
      <c r="H25" s="40"/>
      <c r="I25" s="40"/>
      <c r="J25" s="40">
        <f>ROUND(('(E) 2011-12 FTES '!D25*7305)/100,0)*100</f>
        <v>5522600</v>
      </c>
      <c r="K25" s="40"/>
      <c r="L25" s="47">
        <f t="shared" si="0"/>
        <v>8499860</v>
      </c>
      <c r="M25" s="40"/>
      <c r="N25" s="47">
        <f t="shared" si="1"/>
        <v>152363649</v>
      </c>
      <c r="Q25" s="356">
        <v>2358000</v>
      </c>
      <c r="R25" s="228">
        <v>202000</v>
      </c>
      <c r="S25" s="228">
        <v>320432.2285614226</v>
      </c>
      <c r="T25" s="228">
        <v>400000</v>
      </c>
      <c r="U25" s="228"/>
      <c r="V25" s="301">
        <f t="shared" si="2"/>
        <v>3280432.228561423</v>
      </c>
    </row>
    <row r="26" spans="1:22" s="26" customFormat="1" ht="15">
      <c r="A26" s="26" t="s">
        <v>17</v>
      </c>
      <c r="B26" s="47">
        <f>'(A) Budget Summary'!C27</f>
        <v>140513822</v>
      </c>
      <c r="C26" s="37"/>
      <c r="D26" s="59">
        <v>2916140</v>
      </c>
      <c r="E26" s="37"/>
      <c r="F26" s="40"/>
      <c r="G26" s="40"/>
      <c r="H26" s="40"/>
      <c r="I26" s="40"/>
      <c r="J26" s="40">
        <f>ROUND(('(E) 2011-12 FTES '!D26*7305)/100,0)*100</f>
        <v>-730500</v>
      </c>
      <c r="K26" s="40"/>
      <c r="L26" s="47">
        <f t="shared" si="0"/>
        <v>2185640</v>
      </c>
      <c r="M26" s="40"/>
      <c r="N26" s="47">
        <f t="shared" si="1"/>
        <v>142699462</v>
      </c>
      <c r="Q26" s="356">
        <v>2339000</v>
      </c>
      <c r="R26" s="228">
        <v>218000</v>
      </c>
      <c r="S26" s="228">
        <v>399255.2293091017</v>
      </c>
      <c r="T26" s="228">
        <v>0</v>
      </c>
      <c r="U26" s="228"/>
      <c r="V26" s="301">
        <f t="shared" si="2"/>
        <v>2956255.2293091016</v>
      </c>
    </row>
    <row r="27" spans="1:22" s="26" customFormat="1" ht="15">
      <c r="A27" s="26" t="s">
        <v>18</v>
      </c>
      <c r="B27" s="47">
        <f>'(A) Budget Summary'!C28</f>
        <v>124855198</v>
      </c>
      <c r="C27" s="37"/>
      <c r="D27" s="59">
        <v>2421540</v>
      </c>
      <c r="E27" s="37"/>
      <c r="F27" s="40"/>
      <c r="G27" s="40"/>
      <c r="H27" s="40"/>
      <c r="I27" s="40"/>
      <c r="J27" s="40">
        <f>ROUND(('(E) 2011-12 FTES '!D27*7305)/100,0)*100</f>
        <v>-3382200</v>
      </c>
      <c r="K27" s="40"/>
      <c r="L27" s="47">
        <f t="shared" si="0"/>
        <v>-960660</v>
      </c>
      <c r="M27" s="40"/>
      <c r="N27" s="47">
        <f t="shared" si="1"/>
        <v>123894538</v>
      </c>
      <c r="Q27" s="356">
        <v>2017000</v>
      </c>
      <c r="R27" s="228">
        <v>195000</v>
      </c>
      <c r="S27" s="228">
        <v>327589.53934489004</v>
      </c>
      <c r="T27" s="228">
        <v>72000</v>
      </c>
      <c r="U27" s="228"/>
      <c r="V27" s="301">
        <f t="shared" si="2"/>
        <v>2611589.53934489</v>
      </c>
    </row>
    <row r="28" spans="1:22" s="26" customFormat="1" ht="15">
      <c r="A28" s="26" t="s">
        <v>19</v>
      </c>
      <c r="B28" s="47">
        <f>'(A) Budget Summary'!C29</f>
        <v>60198542</v>
      </c>
      <c r="C28" s="37"/>
      <c r="D28" s="59">
        <v>1017500</v>
      </c>
      <c r="E28" s="37"/>
      <c r="F28" s="40"/>
      <c r="G28" s="40"/>
      <c r="H28" s="40"/>
      <c r="I28" s="40"/>
      <c r="J28" s="40">
        <f>ROUND(('(E) 2011-12 FTES '!D28*7305)/100,0)*100</f>
        <v>2520200</v>
      </c>
      <c r="K28" s="40"/>
      <c r="L28" s="47">
        <f t="shared" si="0"/>
        <v>3537700</v>
      </c>
      <c r="M28" s="40"/>
      <c r="N28" s="47">
        <f t="shared" si="1"/>
        <v>63736242</v>
      </c>
      <c r="Q28" s="356">
        <v>854000</v>
      </c>
      <c r="R28" s="228">
        <v>79000</v>
      </c>
      <c r="S28" s="228">
        <v>128864.32654170287</v>
      </c>
      <c r="T28" s="228">
        <v>128000</v>
      </c>
      <c r="U28" s="228"/>
      <c r="V28" s="301">
        <f t="shared" si="2"/>
        <v>1189864.326541703</v>
      </c>
    </row>
    <row r="29" spans="1:22" s="26" customFormat="1" ht="15">
      <c r="A29" s="26" t="s">
        <v>20</v>
      </c>
      <c r="B29" s="47">
        <f>'(A) Budget Summary'!C30</f>
        <v>56137723</v>
      </c>
      <c r="C29" s="37"/>
      <c r="D29" s="59">
        <v>983490</v>
      </c>
      <c r="E29" s="37"/>
      <c r="F29" s="40"/>
      <c r="G29" s="40"/>
      <c r="H29" s="40"/>
      <c r="I29" s="40"/>
      <c r="J29" s="40">
        <f>ROUND(('(E) 2011-12 FTES '!D29*7305)/100,0)*100</f>
        <v>1344100</v>
      </c>
      <c r="K29" s="40"/>
      <c r="L29" s="47">
        <f t="shared" si="0"/>
        <v>2327590</v>
      </c>
      <c r="M29" s="40"/>
      <c r="N29" s="47">
        <f t="shared" si="1"/>
        <v>58465313</v>
      </c>
      <c r="Q29" s="356">
        <v>965000</v>
      </c>
      <c r="R29" s="228">
        <v>86000</v>
      </c>
      <c r="S29" s="228">
        <v>130608.04795186565</v>
      </c>
      <c r="T29" s="228">
        <v>0</v>
      </c>
      <c r="U29" s="228"/>
      <c r="V29" s="301">
        <f t="shared" si="2"/>
        <v>1181608.0479518657</v>
      </c>
    </row>
    <row r="30" spans="1:22" s="26" customFormat="1" ht="15">
      <c r="A30" s="26" t="s">
        <v>21</v>
      </c>
      <c r="B30" s="47">
        <f>'(A) Budget Summary'!C31</f>
        <v>56514337</v>
      </c>
      <c r="C30" s="37"/>
      <c r="D30" s="59">
        <v>875560</v>
      </c>
      <c r="E30" s="37"/>
      <c r="F30" s="40"/>
      <c r="G30" s="40"/>
      <c r="H30" s="40"/>
      <c r="I30" s="40"/>
      <c r="J30" s="40">
        <f>ROUND(('(E) 2011-12 FTES '!D30*7305)/100,0)*100</f>
        <v>-1125000</v>
      </c>
      <c r="K30" s="40"/>
      <c r="L30" s="47">
        <f t="shared" si="0"/>
        <v>-249440</v>
      </c>
      <c r="M30" s="40"/>
      <c r="N30" s="47">
        <f t="shared" si="1"/>
        <v>56264897</v>
      </c>
      <c r="Q30" s="356">
        <v>840000</v>
      </c>
      <c r="R30" s="228">
        <v>76000</v>
      </c>
      <c r="S30" s="228">
        <v>134595.1055777421</v>
      </c>
      <c r="T30" s="228">
        <v>0</v>
      </c>
      <c r="U30" s="228"/>
      <c r="V30" s="301">
        <f t="shared" si="2"/>
        <v>1050595.1055777422</v>
      </c>
    </row>
    <row r="31" spans="2:22" s="26" customFormat="1" ht="9" customHeight="1">
      <c r="B31" s="47"/>
      <c r="C31" s="37"/>
      <c r="D31" s="37"/>
      <c r="E31" s="37"/>
      <c r="F31" s="40"/>
      <c r="G31" s="40"/>
      <c r="H31" s="40"/>
      <c r="I31" s="40"/>
      <c r="J31" s="40"/>
      <c r="K31" s="40"/>
      <c r="L31" s="47"/>
      <c r="M31" s="40"/>
      <c r="N31" s="47"/>
      <c r="Q31" s="356"/>
      <c r="R31" s="228"/>
      <c r="S31" s="228"/>
      <c r="T31" s="228"/>
      <c r="U31" s="228"/>
      <c r="V31" s="301"/>
    </row>
    <row r="32" spans="1:22" s="45" customFormat="1" ht="15" customHeight="1">
      <c r="A32" s="33" t="s">
        <v>22</v>
      </c>
      <c r="B32" s="48">
        <f>SUM(B8:B30)</f>
        <v>2359434342.16</v>
      </c>
      <c r="C32" s="38"/>
      <c r="D32" s="38">
        <f>SUM(D8:D31)</f>
        <v>42553300</v>
      </c>
      <c r="E32" s="38"/>
      <c r="F32" s="38">
        <f>SUM(F8:F30)</f>
        <v>85000</v>
      </c>
      <c r="G32" s="38"/>
      <c r="H32" s="38">
        <f>SUM(H8:H30)</f>
        <v>0</v>
      </c>
      <c r="I32" s="38"/>
      <c r="J32" s="38">
        <f>SUM(J8:J31)</f>
        <v>40294500</v>
      </c>
      <c r="K32" s="38"/>
      <c r="L32" s="48">
        <f>SUM(L8:L31)</f>
        <v>82932800</v>
      </c>
      <c r="M32" s="38"/>
      <c r="N32" s="48">
        <f>SUM(N8:N31)</f>
        <v>2442367142.16</v>
      </c>
      <c r="Q32" s="357">
        <f>SUM(Q8:Q31)</f>
        <v>35923000</v>
      </c>
      <c r="R32" s="219">
        <f>SUM(R8:R31)</f>
        <v>3198000</v>
      </c>
      <c r="S32" s="219">
        <f>SUM(S8:S31)</f>
        <v>5500000.000000001</v>
      </c>
      <c r="T32" s="219">
        <f>SUM(T8:T30)</f>
        <v>3816000</v>
      </c>
      <c r="U32" s="219"/>
      <c r="V32" s="302">
        <f>SUM(V8:V31)</f>
        <v>48437000</v>
      </c>
    </row>
    <row r="33" spans="2:22" s="26" customFormat="1" ht="9" customHeight="1">
      <c r="B33" s="47"/>
      <c r="C33" s="37"/>
      <c r="D33" s="37"/>
      <c r="E33" s="37"/>
      <c r="F33" s="40"/>
      <c r="G33" s="40"/>
      <c r="H33" s="40"/>
      <c r="I33" s="40"/>
      <c r="J33" s="40"/>
      <c r="K33" s="40"/>
      <c r="L33" s="47"/>
      <c r="M33" s="40"/>
      <c r="N33" s="47"/>
      <c r="Q33" s="356"/>
      <c r="R33" s="228"/>
      <c r="S33" s="228"/>
      <c r="T33" s="228"/>
      <c r="U33" s="228"/>
      <c r="V33" s="301"/>
    </row>
    <row r="34" spans="1:22" s="26" customFormat="1" ht="15">
      <c r="A34" s="26" t="s">
        <v>23</v>
      </c>
      <c r="B34" s="47">
        <f>'(A) Budget Summary'!C35</f>
        <v>74466672</v>
      </c>
      <c r="C34" s="37"/>
      <c r="D34" s="59">
        <v>805680</v>
      </c>
      <c r="E34" s="37"/>
      <c r="F34" s="40"/>
      <c r="G34" s="40"/>
      <c r="H34" s="40"/>
      <c r="I34" s="40"/>
      <c r="J34" s="40">
        <f>ROUND(('(E) 2011-12 FTES '!D34*7305)/100,0)*100</f>
        <v>0</v>
      </c>
      <c r="K34" s="40"/>
      <c r="L34" s="47">
        <f>SUM(D34:J34)</f>
        <v>805680</v>
      </c>
      <c r="M34" s="40"/>
      <c r="N34" s="47">
        <f>B34+L34</f>
        <v>75272352</v>
      </c>
      <c r="Q34" s="356">
        <f>484000</f>
        <v>484000</v>
      </c>
      <c r="R34" s="228">
        <v>44000</v>
      </c>
      <c r="S34" s="228">
        <v>0</v>
      </c>
      <c r="T34" s="228">
        <v>0</v>
      </c>
      <c r="U34" s="228"/>
      <c r="V34" s="301">
        <f>SUM(Q34:U34)</f>
        <v>528000</v>
      </c>
    </row>
    <row r="35" spans="1:22" s="26" customFormat="1" ht="15">
      <c r="A35" s="26" t="s">
        <v>30</v>
      </c>
      <c r="B35" s="47">
        <f>'(A) Budget Summary'!C36</f>
        <v>1063735</v>
      </c>
      <c r="C35" s="37"/>
      <c r="D35" s="269">
        <v>0</v>
      </c>
      <c r="E35" s="37"/>
      <c r="F35" s="40"/>
      <c r="G35" s="40"/>
      <c r="H35" s="40"/>
      <c r="I35" s="40"/>
      <c r="J35" s="40">
        <v>-82000</v>
      </c>
      <c r="K35" s="40"/>
      <c r="L35" s="47">
        <f>SUM(D35:J35)</f>
        <v>-82000</v>
      </c>
      <c r="M35" s="40"/>
      <c r="N35" s="47">
        <f>B35+L35</f>
        <v>981735</v>
      </c>
      <c r="Q35" s="356">
        <v>0</v>
      </c>
      <c r="R35" s="228">
        <v>0</v>
      </c>
      <c r="S35" s="228">
        <v>0</v>
      </c>
      <c r="T35" s="228">
        <v>0</v>
      </c>
      <c r="U35" s="228"/>
      <c r="V35" s="301">
        <f>SUM(Q35:U35)</f>
        <v>0</v>
      </c>
    </row>
    <row r="36" spans="1:22" s="26" customFormat="1" ht="15">
      <c r="A36" s="26" t="s">
        <v>24</v>
      </c>
      <c r="B36" s="47">
        <f>'(A) Budget Summary'!C37</f>
        <v>2414496</v>
      </c>
      <c r="C36" s="37"/>
      <c r="D36" s="269">
        <v>0</v>
      </c>
      <c r="E36" s="37"/>
      <c r="F36" s="40"/>
      <c r="G36" s="40"/>
      <c r="H36" s="40"/>
      <c r="I36" s="40"/>
      <c r="J36" s="40">
        <v>-145000</v>
      </c>
      <c r="K36" s="40"/>
      <c r="L36" s="47">
        <f>SUM(D36:J36)</f>
        <v>-145000</v>
      </c>
      <c r="M36" s="40"/>
      <c r="N36" s="47">
        <f>B36+L36</f>
        <v>2269496</v>
      </c>
      <c r="Q36" s="356">
        <v>0</v>
      </c>
      <c r="R36" s="228">
        <v>0</v>
      </c>
      <c r="S36" s="228">
        <v>0</v>
      </c>
      <c r="T36" s="228">
        <v>0</v>
      </c>
      <c r="U36" s="228"/>
      <c r="V36" s="301">
        <f>SUM(Q36:U36)</f>
        <v>0</v>
      </c>
    </row>
    <row r="37" spans="1:22" s="26" customFormat="1" ht="15">
      <c r="A37" s="26" t="s">
        <v>25</v>
      </c>
      <c r="B37" s="47">
        <f>'(A) Budget Summary'!C38</f>
        <v>57800</v>
      </c>
      <c r="C37" s="37"/>
      <c r="D37" s="269">
        <v>0</v>
      </c>
      <c r="E37" s="37"/>
      <c r="F37" s="40"/>
      <c r="G37" s="40"/>
      <c r="H37" s="40"/>
      <c r="I37" s="40"/>
      <c r="J37" s="40">
        <f>ROUND(('(E) 2011-12 FTES '!D37*7305)/100,0)*100</f>
        <v>0</v>
      </c>
      <c r="K37" s="40"/>
      <c r="L37" s="47">
        <f>SUM(D37:J37)</f>
        <v>0</v>
      </c>
      <c r="M37" s="40"/>
      <c r="N37" s="47">
        <f>B37+L37</f>
        <v>57800</v>
      </c>
      <c r="Q37" s="356">
        <v>0</v>
      </c>
      <c r="R37" s="228">
        <v>0</v>
      </c>
      <c r="S37" s="228">
        <v>0</v>
      </c>
      <c r="T37" s="228">
        <v>0</v>
      </c>
      <c r="U37" s="228"/>
      <c r="V37" s="301">
        <f>SUM(Q37:U37)</f>
        <v>0</v>
      </c>
    </row>
    <row r="38" spans="1:22" s="26" customFormat="1" ht="15">
      <c r="A38" s="26" t="s">
        <v>26</v>
      </c>
      <c r="B38" s="47">
        <f>'(A) Budget Summary'!C39</f>
        <v>286550824</v>
      </c>
      <c r="C38" s="37"/>
      <c r="D38" s="59">
        <v>31876020</v>
      </c>
      <c r="E38" s="37"/>
      <c r="F38" s="40">
        <f>-9961000-85000-2309000+977000+3714000+182000</f>
        <v>-7482000</v>
      </c>
      <c r="G38" s="40"/>
      <c r="H38" s="40">
        <f>-106552869</f>
        <v>-106552869</v>
      </c>
      <c r="I38" s="40"/>
      <c r="J38" s="40">
        <f>66362900-430400</f>
        <v>65932500</v>
      </c>
      <c r="K38" s="40"/>
      <c r="L38" s="47">
        <f>SUM(D38:J38)</f>
        <v>-16226349</v>
      </c>
      <c r="M38" s="40"/>
      <c r="N38" s="47">
        <f>B38+L38</f>
        <v>270324475</v>
      </c>
      <c r="Q38" s="356">
        <v>0</v>
      </c>
      <c r="R38" s="228">
        <v>0</v>
      </c>
      <c r="S38" s="228">
        <v>0</v>
      </c>
      <c r="T38" s="228">
        <v>0</v>
      </c>
      <c r="U38" s="228"/>
      <c r="V38" s="301">
        <f>SUM(Q38:U38)</f>
        <v>0</v>
      </c>
    </row>
    <row r="39" spans="2:22" s="26" customFormat="1" ht="9" customHeight="1">
      <c r="B39" s="47"/>
      <c r="C39" s="37"/>
      <c r="D39" s="37"/>
      <c r="E39" s="37"/>
      <c r="F39" s="40"/>
      <c r="G39" s="40"/>
      <c r="H39" s="40"/>
      <c r="I39" s="40"/>
      <c r="J39" s="40"/>
      <c r="K39" s="40"/>
      <c r="L39" s="47"/>
      <c r="M39" s="40"/>
      <c r="N39" s="47"/>
      <c r="Q39" s="358"/>
      <c r="R39" s="346"/>
      <c r="S39" s="346"/>
      <c r="T39" s="346"/>
      <c r="U39" s="346"/>
      <c r="V39" s="349"/>
    </row>
    <row r="40" spans="1:22" s="45" customFormat="1" ht="15" customHeight="1" thickBot="1">
      <c r="A40" s="34" t="s">
        <v>27</v>
      </c>
      <c r="B40" s="49">
        <f>SUM(B32:B38)</f>
        <v>2723987869.16</v>
      </c>
      <c r="C40" s="42"/>
      <c r="D40" s="42">
        <f>SUM(D32:D38)</f>
        <v>75235000</v>
      </c>
      <c r="E40" s="42"/>
      <c r="F40" s="42">
        <f>SUM(F32:F38)</f>
        <v>-7397000</v>
      </c>
      <c r="G40" s="42"/>
      <c r="H40" s="42">
        <f>SUM(H32:H38)</f>
        <v>-106552869</v>
      </c>
      <c r="I40" s="42"/>
      <c r="J40" s="42">
        <f>J32+J34+J35+J36+J37+J38</f>
        <v>106000000</v>
      </c>
      <c r="K40" s="42"/>
      <c r="L40" s="49">
        <f>SUM(L32:L38)</f>
        <v>67285131</v>
      </c>
      <c r="M40" s="42"/>
      <c r="N40" s="49">
        <f>SUM(N32:N38)</f>
        <v>2791273000.16</v>
      </c>
      <c r="Q40" s="350">
        <f>SUM(Q32:Q38)</f>
        <v>36407000</v>
      </c>
      <c r="R40" s="220">
        <f>SUM(R32:R38)</f>
        <v>3242000</v>
      </c>
      <c r="S40" s="220">
        <f>SUM(S32:S38)</f>
        <v>5500000.000000001</v>
      </c>
      <c r="T40" s="220">
        <f>SUM(T32:T38)</f>
        <v>3816000</v>
      </c>
      <c r="U40" s="220"/>
      <c r="V40" s="303">
        <f>SUM(V32:V39)</f>
        <v>48965000</v>
      </c>
    </row>
    <row r="41" spans="11:22" ht="15.75">
      <c r="K41" s="297"/>
      <c r="L41" s="297"/>
      <c r="M41" s="297"/>
      <c r="N41" s="297"/>
      <c r="O41" s="297"/>
      <c r="P41" s="297"/>
      <c r="Q41" s="236"/>
      <c r="R41" s="236"/>
      <c r="S41" s="236"/>
      <c r="T41" s="236"/>
      <c r="U41" s="257"/>
      <c r="V41" s="234"/>
    </row>
    <row r="42" spans="1:22" s="361" customFormat="1" ht="15.75">
      <c r="A42" s="361" t="s">
        <v>153</v>
      </c>
      <c r="K42" s="362"/>
      <c r="L42" s="384"/>
      <c r="M42" s="362"/>
      <c r="N42" s="384"/>
      <c r="O42" s="384"/>
      <c r="P42" s="362"/>
      <c r="Q42" s="366" t="s">
        <v>179</v>
      </c>
      <c r="R42" s="363"/>
      <c r="S42" s="363"/>
      <c r="T42" s="363"/>
      <c r="U42" s="364"/>
      <c r="V42" s="365"/>
    </row>
    <row r="43" spans="1:17" s="361" customFormat="1" ht="47.25" customHeight="1">
      <c r="A43" s="398" t="s">
        <v>154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72"/>
      <c r="Q43" s="366" t="s">
        <v>151</v>
      </c>
    </row>
    <row r="44" spans="1:16" ht="18" customHeight="1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298"/>
    </row>
  </sheetData>
  <sheetProtection/>
  <mergeCells count="2">
    <mergeCell ref="A44:O44"/>
    <mergeCell ref="A43:O43"/>
  </mergeCells>
  <printOptions/>
  <pageMargins left="0.25" right="0.25" top="0.25" bottom="0.25" header="0.5" footer="0.5"/>
  <pageSetup fitToHeight="1" fitToWidth="1" horizontalDpi="600" verticalDpi="600" orientation="landscape" paperSize="5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6" sqref="G46"/>
    </sheetView>
  </sheetViews>
  <sheetFormatPr defaultColWidth="10.83203125" defaultRowHeight="12.75"/>
  <cols>
    <col min="1" max="1" width="23.66015625" style="234" customWidth="1"/>
    <col min="2" max="2" width="1.83203125" style="234" customWidth="1"/>
    <col min="3" max="3" width="17" style="234" customWidth="1"/>
    <col min="4" max="4" width="1.83203125" style="234" customWidth="1"/>
    <col min="5" max="5" width="14.16015625" style="234" customWidth="1"/>
    <col min="6" max="6" width="15.5" style="234" customWidth="1"/>
    <col min="7" max="7" width="16" style="234" bestFit="1" customWidth="1"/>
    <col min="8" max="8" width="3.33203125" style="234" customWidth="1"/>
    <col min="9" max="9" width="17.83203125" style="234" bestFit="1" customWidth="1"/>
    <col min="10" max="10" width="2.83203125" style="234" customWidth="1"/>
    <col min="11" max="11" width="17.83203125" style="234" customWidth="1"/>
    <col min="12" max="12" width="2.83203125" style="234" customWidth="1"/>
    <col min="13" max="13" width="18" style="234" customWidth="1"/>
    <col min="14" max="14" width="1.83203125" style="234" customWidth="1"/>
    <col min="15" max="15" width="18.66015625" style="234" customWidth="1"/>
    <col min="16" max="16" width="2.83203125" style="234" customWidth="1"/>
    <col min="17" max="17" width="18.66015625" style="234" customWidth="1"/>
    <col min="18" max="18" width="2.83203125" style="234" customWidth="1"/>
    <col min="19" max="19" width="18.66015625" style="234" customWidth="1"/>
    <col min="20" max="21" width="14.66015625" style="234" customWidth="1"/>
    <col min="22" max="22" width="14.83203125" style="234" customWidth="1"/>
    <col min="23" max="23" width="14.66015625" style="234" customWidth="1"/>
    <col min="24" max="24" width="2" style="234" customWidth="1"/>
    <col min="25" max="25" width="17.5" style="234" customWidth="1"/>
    <col min="26" max="16384" width="10.83203125" style="234" customWidth="1"/>
  </cols>
  <sheetData>
    <row r="1" spans="1:12" ht="16.5">
      <c r="A1" s="214" t="s">
        <v>181</v>
      </c>
      <c r="B1" s="214"/>
      <c r="C1" s="214"/>
      <c r="D1" s="214"/>
      <c r="G1" s="215"/>
      <c r="H1" s="235"/>
      <c r="I1" s="235"/>
      <c r="J1" s="235"/>
      <c r="K1" s="235"/>
      <c r="L1" s="235"/>
    </row>
    <row r="2" spans="6:24" ht="15.75" customHeight="1">
      <c r="F2" s="225"/>
      <c r="G2" s="235"/>
      <c r="H2" s="235"/>
      <c r="I2" s="235"/>
      <c r="J2" s="235"/>
      <c r="K2" s="235"/>
      <c r="L2" s="235"/>
      <c r="T2" s="256"/>
      <c r="U2" s="256"/>
      <c r="V2" s="256"/>
      <c r="W2" s="256"/>
      <c r="X2" s="256"/>
    </row>
    <row r="3" spans="3:19" s="226" customFormat="1" ht="15.75" customHeight="1">
      <c r="C3" s="226">
        <v>-1</v>
      </c>
      <c r="E3" s="248">
        <v>-2</v>
      </c>
      <c r="F3" s="248">
        <v>-3</v>
      </c>
      <c r="G3" s="248">
        <v>-4</v>
      </c>
      <c r="H3" s="248"/>
      <c r="I3" s="248">
        <v>-5</v>
      </c>
      <c r="J3" s="248"/>
      <c r="K3" s="248">
        <v>-6</v>
      </c>
      <c r="L3" s="248"/>
      <c r="M3" s="248">
        <v>-7</v>
      </c>
      <c r="N3" s="248"/>
      <c r="O3" s="56">
        <v>-8</v>
      </c>
      <c r="P3" s="56"/>
      <c r="Q3" s="248">
        <v>-9</v>
      </c>
      <c r="R3" s="56"/>
      <c r="S3" s="56">
        <v>-10</v>
      </c>
    </row>
    <row r="4" spans="1:19" ht="16.5" thickBot="1">
      <c r="A4" s="218"/>
      <c r="B4" s="218"/>
      <c r="C4" s="218"/>
      <c r="D4" s="218"/>
      <c r="E4" s="399" t="s">
        <v>113</v>
      </c>
      <c r="F4" s="399"/>
      <c r="G4" s="399"/>
      <c r="H4" s="399"/>
      <c r="I4" s="399"/>
      <c r="J4" s="255"/>
      <c r="K4" s="255"/>
      <c r="L4" s="255"/>
      <c r="M4" s="400" t="s">
        <v>136</v>
      </c>
      <c r="N4" s="400"/>
      <c r="O4" s="400"/>
      <c r="P4" s="379"/>
      <c r="Q4" s="255"/>
      <c r="R4" s="25"/>
      <c r="S4" s="255"/>
    </row>
    <row r="5" spans="3:19" s="304" customFormat="1" ht="75.75" customHeight="1">
      <c r="C5" s="369" t="s">
        <v>117</v>
      </c>
      <c r="E5" s="352" t="s">
        <v>114</v>
      </c>
      <c r="F5" s="345" t="s">
        <v>115</v>
      </c>
      <c r="G5" s="345" t="s">
        <v>116</v>
      </c>
      <c r="H5" s="347"/>
      <c r="I5" s="306" t="s">
        <v>119</v>
      </c>
      <c r="J5" s="305"/>
      <c r="K5" s="306" t="s">
        <v>120</v>
      </c>
      <c r="L5" s="305"/>
      <c r="M5" s="139" t="s">
        <v>164</v>
      </c>
      <c r="N5" s="139"/>
      <c r="O5" s="139" t="s">
        <v>78</v>
      </c>
      <c r="P5" s="139"/>
      <c r="Q5" s="306" t="s">
        <v>145</v>
      </c>
      <c r="R5" s="139"/>
      <c r="S5" s="306" t="s">
        <v>131</v>
      </c>
    </row>
    <row r="6" spans="3:19" s="311" customFormat="1" ht="12.75">
      <c r="C6" s="17" t="s">
        <v>156</v>
      </c>
      <c r="E6" s="348"/>
      <c r="F6" s="312"/>
      <c r="G6" s="312"/>
      <c r="H6" s="313"/>
      <c r="I6" s="308" t="s">
        <v>132</v>
      </c>
      <c r="J6" s="313"/>
      <c r="K6" s="314" t="s">
        <v>135</v>
      </c>
      <c r="L6" s="313"/>
      <c r="M6" s="18" t="s">
        <v>122</v>
      </c>
      <c r="N6" s="307"/>
      <c r="O6" s="18" t="s">
        <v>90</v>
      </c>
      <c r="P6" s="18"/>
      <c r="Q6" s="314" t="s">
        <v>146</v>
      </c>
      <c r="R6" s="18"/>
      <c r="S6" s="314" t="s">
        <v>147</v>
      </c>
    </row>
    <row r="7" spans="1:19" ht="9" customHeight="1">
      <c r="A7" s="218"/>
      <c r="B7" s="218"/>
      <c r="C7" s="218"/>
      <c r="D7" s="218"/>
      <c r="E7" s="378"/>
      <c r="F7" s="227"/>
      <c r="G7" s="227"/>
      <c r="H7" s="227"/>
      <c r="I7" s="299"/>
      <c r="J7" s="227"/>
      <c r="K7" s="299"/>
      <c r="L7" s="227"/>
      <c r="M7" s="295"/>
      <c r="N7" s="295"/>
      <c r="O7" s="295"/>
      <c r="P7" s="295"/>
      <c r="Q7" s="299"/>
      <c r="R7" s="295"/>
      <c r="S7" s="299"/>
    </row>
    <row r="8" spans="1:19" s="344" customFormat="1" ht="15.75">
      <c r="A8" s="343" t="s">
        <v>0</v>
      </c>
      <c r="B8" s="343"/>
      <c r="C8" s="343">
        <f>'(B) Base Bud Adj'!N8</f>
        <v>57521459</v>
      </c>
      <c r="D8" s="343"/>
      <c r="E8" s="355">
        <v>-494000</v>
      </c>
      <c r="F8" s="229">
        <v>-2153000</v>
      </c>
      <c r="G8" s="229">
        <v>-4726000</v>
      </c>
      <c r="H8" s="229"/>
      <c r="I8" s="300">
        <f>SUM(E8:H8)</f>
        <v>-7373000</v>
      </c>
      <c r="J8" s="229"/>
      <c r="K8" s="300">
        <f aca="true" t="shared" si="0" ref="K8:K30">C8+I8</f>
        <v>50148459</v>
      </c>
      <c r="L8" s="351"/>
      <c r="M8" s="60">
        <f>'(D) Tuition Revenue'!AB8</f>
        <v>-1583000</v>
      </c>
      <c r="N8" s="60"/>
      <c r="O8" s="60">
        <f>'(F) SUG '!L8</f>
        <v>2476600</v>
      </c>
      <c r="P8" s="60"/>
      <c r="Q8" s="300">
        <f>I8+M8+O8</f>
        <v>-6479400</v>
      </c>
      <c r="R8" s="60"/>
      <c r="S8" s="300">
        <f>C8+Q8</f>
        <v>51042059</v>
      </c>
    </row>
    <row r="9" spans="1:19" ht="15.75">
      <c r="A9" s="218" t="s">
        <v>1</v>
      </c>
      <c r="B9" s="218"/>
      <c r="C9" s="218">
        <f>'(B) Base Bud Adj'!N9</f>
        <v>48044190</v>
      </c>
      <c r="D9" s="218"/>
      <c r="E9" s="356">
        <v>-242000</v>
      </c>
      <c r="F9" s="228">
        <v>-1076000</v>
      </c>
      <c r="G9" s="228">
        <f>-4500000+2000000</f>
        <v>-2500000</v>
      </c>
      <c r="H9" s="228"/>
      <c r="I9" s="301">
        <f>SUM(E9:H9)</f>
        <v>-3818000</v>
      </c>
      <c r="J9" s="228"/>
      <c r="K9" s="301">
        <f t="shared" si="0"/>
        <v>44226190</v>
      </c>
      <c r="L9" s="351"/>
      <c r="M9" s="61">
        <f>'(D) Tuition Revenue'!AB9</f>
        <v>-863000</v>
      </c>
      <c r="N9" s="61"/>
      <c r="O9" s="61">
        <f>'(F) SUG '!L9</f>
        <v>2110300</v>
      </c>
      <c r="P9" s="61"/>
      <c r="Q9" s="301">
        <f>I9+M9+O9</f>
        <v>-2570700</v>
      </c>
      <c r="R9" s="61"/>
      <c r="S9" s="301">
        <f>C9+Q9</f>
        <v>45473490</v>
      </c>
    </row>
    <row r="10" spans="1:19" ht="15.75">
      <c r="A10" s="218" t="s">
        <v>2</v>
      </c>
      <c r="B10" s="218"/>
      <c r="C10" s="218">
        <f>'(B) Base Bud Adj'!N10</f>
        <v>105553942</v>
      </c>
      <c r="D10" s="218"/>
      <c r="E10" s="356">
        <v>-1051000</v>
      </c>
      <c r="F10" s="228">
        <v>-4515000</v>
      </c>
      <c r="G10" s="228">
        <v>-13078000</v>
      </c>
      <c r="H10" s="228"/>
      <c r="I10" s="301">
        <f aca="true" t="shared" si="1" ref="I10:I30">SUM(E10:H10)</f>
        <v>-18644000</v>
      </c>
      <c r="J10" s="228"/>
      <c r="K10" s="301">
        <f t="shared" si="0"/>
        <v>86909942</v>
      </c>
      <c r="L10" s="351"/>
      <c r="M10" s="61">
        <f>'(D) Tuition Revenue'!AB10</f>
        <v>-3029000</v>
      </c>
      <c r="N10" s="61"/>
      <c r="O10" s="61">
        <f>'(F) SUG '!L10</f>
        <v>3582500</v>
      </c>
      <c r="P10" s="61"/>
      <c r="Q10" s="301">
        <f aca="true" t="shared" si="2" ref="Q10:Q30">I10+M10+O10</f>
        <v>-18090500</v>
      </c>
      <c r="R10" s="61"/>
      <c r="S10" s="301">
        <f aca="true" t="shared" si="3" ref="S10:S30">C10+Q10</f>
        <v>87463442</v>
      </c>
    </row>
    <row r="11" spans="1:19" ht="15.75">
      <c r="A11" s="218" t="s">
        <v>3</v>
      </c>
      <c r="B11" s="218"/>
      <c r="C11" s="218">
        <f>'(B) Base Bud Adj'!N11</f>
        <v>70722532</v>
      </c>
      <c r="D11" s="218"/>
      <c r="E11" s="356">
        <v>-800000</v>
      </c>
      <c r="F11" s="228">
        <v>-3526000</v>
      </c>
      <c r="G11" s="228">
        <v>-5182000</v>
      </c>
      <c r="H11" s="228"/>
      <c r="I11" s="301">
        <f t="shared" si="1"/>
        <v>-9508000</v>
      </c>
      <c r="J11" s="228"/>
      <c r="K11" s="301">
        <f t="shared" si="0"/>
        <v>61214532</v>
      </c>
      <c r="L11" s="351"/>
      <c r="M11" s="61">
        <f>'(D) Tuition Revenue'!AB11</f>
        <v>-2552000</v>
      </c>
      <c r="N11" s="61"/>
      <c r="O11" s="61">
        <f>'(F) SUG '!L11</f>
        <v>4498600</v>
      </c>
      <c r="P11" s="61"/>
      <c r="Q11" s="301">
        <f t="shared" si="2"/>
        <v>-7561400</v>
      </c>
      <c r="R11" s="61"/>
      <c r="S11" s="301">
        <f t="shared" si="3"/>
        <v>63161132</v>
      </c>
    </row>
    <row r="12" spans="1:19" ht="15.75">
      <c r="A12" s="218" t="s">
        <v>29</v>
      </c>
      <c r="B12" s="218"/>
      <c r="C12" s="218">
        <f>'(B) Base Bud Adj'!N12</f>
        <v>80243321</v>
      </c>
      <c r="D12" s="218"/>
      <c r="E12" s="356">
        <v>-866000</v>
      </c>
      <c r="F12" s="228">
        <v>-3712000</v>
      </c>
      <c r="G12" s="228">
        <v>-8455000</v>
      </c>
      <c r="H12" s="228"/>
      <c r="I12" s="301">
        <f t="shared" si="1"/>
        <v>-13033000</v>
      </c>
      <c r="J12" s="228"/>
      <c r="K12" s="301">
        <f t="shared" si="0"/>
        <v>67210321</v>
      </c>
      <c r="L12" s="351"/>
      <c r="M12" s="61">
        <f>'(D) Tuition Revenue'!AB12</f>
        <v>-2677000</v>
      </c>
      <c r="N12" s="61"/>
      <c r="O12" s="61">
        <f>'(F) SUG '!L12</f>
        <v>4135000</v>
      </c>
      <c r="P12" s="61"/>
      <c r="Q12" s="301">
        <f t="shared" si="2"/>
        <v>-11575000</v>
      </c>
      <c r="R12" s="61"/>
      <c r="S12" s="301">
        <f t="shared" si="3"/>
        <v>68668321</v>
      </c>
    </row>
    <row r="13" spans="1:19" ht="15.75">
      <c r="A13" s="218" t="s">
        <v>4</v>
      </c>
      <c r="B13" s="218"/>
      <c r="C13" s="218">
        <f>'(B) Base Bud Adj'!N13</f>
        <v>138262802</v>
      </c>
      <c r="D13" s="218"/>
      <c r="E13" s="356">
        <v>-1359000</v>
      </c>
      <c r="F13" s="228">
        <v>-5857000</v>
      </c>
      <c r="G13" s="228">
        <v>-17204000</v>
      </c>
      <c r="H13" s="228"/>
      <c r="I13" s="301">
        <f t="shared" si="1"/>
        <v>-24420000</v>
      </c>
      <c r="J13" s="228"/>
      <c r="K13" s="301">
        <f t="shared" si="0"/>
        <v>113842802</v>
      </c>
      <c r="L13" s="351"/>
      <c r="M13" s="61">
        <f>'(D) Tuition Revenue'!AB13</f>
        <v>-3938000</v>
      </c>
      <c r="N13" s="61"/>
      <c r="O13" s="61">
        <f>'(F) SUG '!L13</f>
        <v>3323200</v>
      </c>
      <c r="P13" s="61"/>
      <c r="Q13" s="301">
        <f t="shared" si="2"/>
        <v>-25034800</v>
      </c>
      <c r="R13" s="61"/>
      <c r="S13" s="301">
        <f t="shared" si="3"/>
        <v>113228002</v>
      </c>
    </row>
    <row r="14" spans="1:19" ht="15.75">
      <c r="A14" s="218" t="s">
        <v>5</v>
      </c>
      <c r="B14" s="218"/>
      <c r="C14" s="218">
        <f>'(B) Base Bud Adj'!N14</f>
        <v>163389107</v>
      </c>
      <c r="D14" s="218"/>
      <c r="E14" s="356">
        <v>-2223000</v>
      </c>
      <c r="F14" s="228">
        <v>-9880000</v>
      </c>
      <c r="G14" s="228">
        <v>-19281000</v>
      </c>
      <c r="H14" s="228"/>
      <c r="I14" s="301">
        <f t="shared" si="1"/>
        <v>-31384000</v>
      </c>
      <c r="J14" s="228"/>
      <c r="K14" s="301">
        <f t="shared" si="0"/>
        <v>132005107</v>
      </c>
      <c r="L14" s="351"/>
      <c r="M14" s="61">
        <f>'(D) Tuition Revenue'!AB14</f>
        <v>-7406000</v>
      </c>
      <c r="N14" s="61"/>
      <c r="O14" s="61">
        <f>'(F) SUG '!L14</f>
        <v>5329300</v>
      </c>
      <c r="P14" s="61"/>
      <c r="Q14" s="301">
        <f t="shared" si="2"/>
        <v>-33460700</v>
      </c>
      <c r="R14" s="61"/>
      <c r="S14" s="301">
        <f t="shared" si="3"/>
        <v>129928407</v>
      </c>
    </row>
    <row r="15" spans="1:19" ht="15.75">
      <c r="A15" s="218" t="s">
        <v>6</v>
      </c>
      <c r="B15" s="218"/>
      <c r="C15" s="218">
        <f>'(B) Base Bud Adj'!N15</f>
        <v>72281020</v>
      </c>
      <c r="D15" s="218"/>
      <c r="E15" s="356">
        <v>-500000</v>
      </c>
      <c r="F15" s="228">
        <v>-2172000</v>
      </c>
      <c r="G15" s="228">
        <v>-7563000</v>
      </c>
      <c r="H15" s="228"/>
      <c r="I15" s="301">
        <f t="shared" si="1"/>
        <v>-10235000</v>
      </c>
      <c r="J15" s="228"/>
      <c r="K15" s="301">
        <f t="shared" si="0"/>
        <v>62046020</v>
      </c>
      <c r="L15" s="351"/>
      <c r="M15" s="61">
        <f>'(D) Tuition Revenue'!AB15</f>
        <v>-1533000</v>
      </c>
      <c r="N15" s="61"/>
      <c r="O15" s="61">
        <f>'(F) SUG '!L15</f>
        <v>1343200</v>
      </c>
      <c r="P15" s="61"/>
      <c r="Q15" s="301">
        <f t="shared" si="2"/>
        <v>-10424800</v>
      </c>
      <c r="R15" s="61"/>
      <c r="S15" s="301">
        <f t="shared" si="3"/>
        <v>61856220</v>
      </c>
    </row>
    <row r="16" spans="1:19" ht="15.75">
      <c r="A16" s="218" t="s">
        <v>7</v>
      </c>
      <c r="B16" s="218"/>
      <c r="C16" s="218">
        <f>'(B) Base Bud Adj'!N16</f>
        <v>180639696.16</v>
      </c>
      <c r="D16" s="218"/>
      <c r="E16" s="356">
        <v>-2253000</v>
      </c>
      <c r="F16" s="228">
        <v>-9684000</v>
      </c>
      <c r="G16" s="228">
        <v>-22802000</v>
      </c>
      <c r="H16" s="228"/>
      <c r="I16" s="301">
        <f t="shared" si="1"/>
        <v>-34739000</v>
      </c>
      <c r="J16" s="228"/>
      <c r="K16" s="301">
        <f t="shared" si="0"/>
        <v>145900696.16</v>
      </c>
      <c r="L16" s="351"/>
      <c r="M16" s="61">
        <f>'(D) Tuition Revenue'!AB16</f>
        <v>-6415000</v>
      </c>
      <c r="N16" s="61"/>
      <c r="O16" s="61">
        <f>'(F) SUG '!L16</f>
        <v>4833300</v>
      </c>
      <c r="P16" s="61"/>
      <c r="Q16" s="301">
        <f t="shared" si="2"/>
        <v>-36320700</v>
      </c>
      <c r="R16" s="61"/>
      <c r="S16" s="301">
        <f t="shared" si="3"/>
        <v>144318996.16</v>
      </c>
    </row>
    <row r="17" spans="1:19" ht="15.75">
      <c r="A17" s="218" t="s">
        <v>8</v>
      </c>
      <c r="B17" s="218"/>
      <c r="C17" s="218">
        <f>'(B) Base Bud Adj'!N17</f>
        <v>121829449</v>
      </c>
      <c r="D17" s="218"/>
      <c r="E17" s="356">
        <v>-1273000</v>
      </c>
      <c r="F17" s="228">
        <v>-5456000</v>
      </c>
      <c r="G17" s="228">
        <v>-13004000</v>
      </c>
      <c r="H17" s="228"/>
      <c r="I17" s="301">
        <f t="shared" si="1"/>
        <v>-19733000</v>
      </c>
      <c r="J17" s="228"/>
      <c r="K17" s="301">
        <f t="shared" si="0"/>
        <v>102096449</v>
      </c>
      <c r="L17" s="351"/>
      <c r="M17" s="61">
        <f>'(D) Tuition Revenue'!AB17</f>
        <v>-3976000</v>
      </c>
      <c r="N17" s="61"/>
      <c r="O17" s="61">
        <f>'(F) SUG '!L17</f>
        <v>4345400</v>
      </c>
      <c r="P17" s="61"/>
      <c r="Q17" s="301">
        <f t="shared" si="2"/>
        <v>-19363600</v>
      </c>
      <c r="R17" s="61"/>
      <c r="S17" s="301">
        <f t="shared" si="3"/>
        <v>102465849</v>
      </c>
    </row>
    <row r="18" spans="1:19" ht="15.75">
      <c r="A18" s="218" t="s">
        <v>9</v>
      </c>
      <c r="B18" s="218"/>
      <c r="C18" s="218">
        <f>'(B) Base Bud Adj'!N18</f>
        <v>19797241</v>
      </c>
      <c r="D18" s="218"/>
      <c r="E18" s="356">
        <v>-50000</v>
      </c>
      <c r="F18" s="228">
        <v>-233000</v>
      </c>
      <c r="G18" s="228">
        <v>0</v>
      </c>
      <c r="H18" s="228"/>
      <c r="I18" s="301">
        <f t="shared" si="1"/>
        <v>-283000</v>
      </c>
      <c r="J18" s="228"/>
      <c r="K18" s="301">
        <f t="shared" si="0"/>
        <v>19514241</v>
      </c>
      <c r="L18" s="351"/>
      <c r="M18" s="61">
        <f>'(D) Tuition Revenue'!AB18</f>
        <v>-223000</v>
      </c>
      <c r="N18" s="61"/>
      <c r="O18" s="61">
        <f>'(F) SUG '!L18</f>
        <v>576900</v>
      </c>
      <c r="P18" s="61"/>
      <c r="Q18" s="301">
        <f t="shared" si="2"/>
        <v>70900</v>
      </c>
      <c r="R18" s="61"/>
      <c r="S18" s="301">
        <f t="shared" si="3"/>
        <v>19868141</v>
      </c>
    </row>
    <row r="19" spans="1:19" ht="15.75">
      <c r="A19" s="218" t="s">
        <v>10</v>
      </c>
      <c r="B19" s="218"/>
      <c r="C19" s="218">
        <f>'(B) Base Bud Adj'!N19</f>
        <v>56675203</v>
      </c>
      <c r="D19" s="218"/>
      <c r="E19" s="356">
        <v>-278000</v>
      </c>
      <c r="F19" s="228">
        <v>-1351000</v>
      </c>
      <c r="G19" s="228">
        <f>-5264000+1764000</f>
        <v>-3500000</v>
      </c>
      <c r="H19" s="228"/>
      <c r="I19" s="301">
        <f t="shared" si="1"/>
        <v>-5129000</v>
      </c>
      <c r="J19" s="228"/>
      <c r="K19" s="301">
        <f t="shared" si="0"/>
        <v>51546203</v>
      </c>
      <c r="L19" s="351"/>
      <c r="M19" s="61">
        <f>'(D) Tuition Revenue'!AB19</f>
        <v>-1452000</v>
      </c>
      <c r="N19" s="61"/>
      <c r="O19" s="61">
        <f>'(F) SUG '!L19</f>
        <v>2748300</v>
      </c>
      <c r="P19" s="61"/>
      <c r="Q19" s="301">
        <f t="shared" si="2"/>
        <v>-3832700</v>
      </c>
      <c r="R19" s="61"/>
      <c r="S19" s="301">
        <f t="shared" si="3"/>
        <v>52842503</v>
      </c>
    </row>
    <row r="20" spans="1:19" ht="15.75">
      <c r="A20" s="218" t="s">
        <v>11</v>
      </c>
      <c r="B20" s="218"/>
      <c r="C20" s="218">
        <f>'(B) Base Bud Adj'!N20</f>
        <v>177497266</v>
      </c>
      <c r="D20" s="218"/>
      <c r="E20" s="356">
        <v>-2169000</v>
      </c>
      <c r="F20" s="228">
        <v>-9562000</v>
      </c>
      <c r="G20" s="228">
        <v>-21145000</v>
      </c>
      <c r="H20" s="228"/>
      <c r="I20" s="301">
        <f t="shared" si="1"/>
        <v>-32876000</v>
      </c>
      <c r="J20" s="228"/>
      <c r="K20" s="301">
        <f t="shared" si="0"/>
        <v>144621266</v>
      </c>
      <c r="L20" s="351"/>
      <c r="M20" s="61">
        <f>'(D) Tuition Revenue'!AB20</f>
        <v>-6974000</v>
      </c>
      <c r="N20" s="61"/>
      <c r="O20" s="61">
        <f>'(F) SUG '!L20</f>
        <v>6040500</v>
      </c>
      <c r="P20" s="61"/>
      <c r="Q20" s="301">
        <f t="shared" si="2"/>
        <v>-33809500</v>
      </c>
      <c r="R20" s="61"/>
      <c r="S20" s="301">
        <f t="shared" si="3"/>
        <v>143687766</v>
      </c>
    </row>
    <row r="21" spans="1:19" ht="15.75">
      <c r="A21" s="218" t="s">
        <v>12</v>
      </c>
      <c r="B21" s="218"/>
      <c r="C21" s="218">
        <f>'(B) Base Bud Adj'!N21</f>
        <v>128231392</v>
      </c>
      <c r="D21" s="218"/>
      <c r="E21" s="356">
        <v>-1420000</v>
      </c>
      <c r="F21" s="228">
        <v>-6090000</v>
      </c>
      <c r="G21" s="228">
        <v>-16132000</v>
      </c>
      <c r="H21" s="228"/>
      <c r="I21" s="301">
        <f t="shared" si="1"/>
        <v>-23642000</v>
      </c>
      <c r="J21" s="228"/>
      <c r="K21" s="301">
        <f t="shared" si="0"/>
        <v>104589392</v>
      </c>
      <c r="L21" s="351"/>
      <c r="M21" s="61">
        <f>'(D) Tuition Revenue'!AB21</f>
        <v>-4015000</v>
      </c>
      <c r="N21" s="61"/>
      <c r="O21" s="61">
        <f>'(F) SUG '!L21</f>
        <v>4285300</v>
      </c>
      <c r="P21" s="61"/>
      <c r="Q21" s="301">
        <f t="shared" si="2"/>
        <v>-23371700</v>
      </c>
      <c r="R21" s="61"/>
      <c r="S21" s="301">
        <f t="shared" si="3"/>
        <v>104859692</v>
      </c>
    </row>
    <row r="22" spans="1:19" ht="15.75">
      <c r="A22" s="218" t="s">
        <v>13</v>
      </c>
      <c r="B22" s="218"/>
      <c r="C22" s="218">
        <f>'(B) Base Bud Adj'!N22</f>
        <v>143410017</v>
      </c>
      <c r="D22" s="218"/>
      <c r="E22" s="356">
        <v>-1746000</v>
      </c>
      <c r="F22" s="228">
        <v>-7386000</v>
      </c>
      <c r="G22" s="228">
        <v>-17840000</v>
      </c>
      <c r="H22" s="228"/>
      <c r="I22" s="301">
        <f t="shared" si="1"/>
        <v>-26972000</v>
      </c>
      <c r="J22" s="228"/>
      <c r="K22" s="301">
        <f t="shared" si="0"/>
        <v>116438017</v>
      </c>
      <c r="L22" s="351"/>
      <c r="M22" s="61">
        <f>'(D) Tuition Revenue'!AB22</f>
        <v>-4567000</v>
      </c>
      <c r="N22" s="61"/>
      <c r="O22" s="61">
        <f>'(F) SUG '!L22</f>
        <v>5150300</v>
      </c>
      <c r="P22" s="61"/>
      <c r="Q22" s="301">
        <f t="shared" si="2"/>
        <v>-26388700</v>
      </c>
      <c r="R22" s="61"/>
      <c r="S22" s="301">
        <f t="shared" si="3"/>
        <v>117021317</v>
      </c>
    </row>
    <row r="23" spans="1:19" ht="15.75">
      <c r="A23" s="218" t="s">
        <v>14</v>
      </c>
      <c r="B23" s="218"/>
      <c r="C23" s="218">
        <f>'(B) Base Bud Adj'!N23</f>
        <v>96866018</v>
      </c>
      <c r="D23" s="218"/>
      <c r="E23" s="356">
        <v>-1147000</v>
      </c>
      <c r="F23" s="228">
        <v>-4899000</v>
      </c>
      <c r="G23" s="228">
        <v>-9374000</v>
      </c>
      <c r="H23" s="228"/>
      <c r="I23" s="301">
        <f>SUM(E23:H23)</f>
        <v>-15420000</v>
      </c>
      <c r="J23" s="228"/>
      <c r="K23" s="301">
        <f t="shared" si="0"/>
        <v>81446018</v>
      </c>
      <c r="L23" s="351"/>
      <c r="M23" s="61">
        <f>'(D) Tuition Revenue'!AB23</f>
        <v>-3205000</v>
      </c>
      <c r="N23" s="61"/>
      <c r="O23" s="61">
        <f>'(F) SUG '!L23</f>
        <v>3063900</v>
      </c>
      <c r="P23" s="61"/>
      <c r="Q23" s="301">
        <f t="shared" si="2"/>
        <v>-15561100</v>
      </c>
      <c r="R23" s="61"/>
      <c r="S23" s="301">
        <f t="shared" si="3"/>
        <v>81304918</v>
      </c>
    </row>
    <row r="24" spans="1:19" ht="15.75">
      <c r="A24" s="218" t="s">
        <v>15</v>
      </c>
      <c r="B24" s="218"/>
      <c r="C24" s="218">
        <f>'(B) Base Bud Adj'!N24</f>
        <v>183978386</v>
      </c>
      <c r="D24" s="218"/>
      <c r="E24" s="356">
        <v>-2045000</v>
      </c>
      <c r="F24" s="228">
        <v>-8406000</v>
      </c>
      <c r="G24" s="228">
        <v>-26695000</v>
      </c>
      <c r="H24" s="228"/>
      <c r="I24" s="301">
        <f t="shared" si="1"/>
        <v>-37146000</v>
      </c>
      <c r="J24" s="228"/>
      <c r="K24" s="301">
        <f t="shared" si="0"/>
        <v>146832386</v>
      </c>
      <c r="L24" s="351"/>
      <c r="M24" s="61">
        <f>'(D) Tuition Revenue'!AB24</f>
        <v>-4813000</v>
      </c>
      <c r="N24" s="61"/>
      <c r="O24" s="61">
        <f>'(F) SUG '!L24</f>
        <v>3670400</v>
      </c>
      <c r="P24" s="61"/>
      <c r="Q24" s="301">
        <f t="shared" si="2"/>
        <v>-38288600</v>
      </c>
      <c r="R24" s="61"/>
      <c r="S24" s="301">
        <f t="shared" si="3"/>
        <v>145689786</v>
      </c>
    </row>
    <row r="25" spans="1:19" ht="15.75">
      <c r="A25" s="218" t="s">
        <v>16</v>
      </c>
      <c r="B25" s="218"/>
      <c r="C25" s="218">
        <f>'(B) Base Bud Adj'!N25</f>
        <v>152363649</v>
      </c>
      <c r="D25" s="218"/>
      <c r="E25" s="356">
        <v>-1894000</v>
      </c>
      <c r="F25" s="228">
        <v>-8292000</v>
      </c>
      <c r="G25" s="228">
        <v>-17847000</v>
      </c>
      <c r="H25" s="228"/>
      <c r="I25" s="301">
        <f t="shared" si="1"/>
        <v>-28033000</v>
      </c>
      <c r="J25" s="228"/>
      <c r="K25" s="301">
        <f t="shared" si="0"/>
        <v>124330649</v>
      </c>
      <c r="L25" s="351"/>
      <c r="M25" s="61">
        <f>'(D) Tuition Revenue'!AB25</f>
        <v>-5894000</v>
      </c>
      <c r="N25" s="61"/>
      <c r="O25" s="61">
        <f>'(F) SUG '!L25</f>
        <v>4276000</v>
      </c>
      <c r="P25" s="61"/>
      <c r="Q25" s="301">
        <f t="shared" si="2"/>
        <v>-29651000</v>
      </c>
      <c r="R25" s="61"/>
      <c r="S25" s="301">
        <f t="shared" si="3"/>
        <v>122712649</v>
      </c>
    </row>
    <row r="26" spans="1:19" ht="15.75">
      <c r="A26" s="218" t="s">
        <v>17</v>
      </c>
      <c r="B26" s="218"/>
      <c r="C26" s="218">
        <f>'(B) Base Bud Adj'!N26</f>
        <v>142699462</v>
      </c>
      <c r="D26" s="218"/>
      <c r="E26" s="356">
        <v>-1935000</v>
      </c>
      <c r="F26" s="228">
        <v>-8161000</v>
      </c>
      <c r="G26" s="228">
        <v>-18672000</v>
      </c>
      <c r="H26" s="228"/>
      <c r="I26" s="301">
        <f t="shared" si="1"/>
        <v>-28768000</v>
      </c>
      <c r="J26" s="228"/>
      <c r="K26" s="301">
        <f t="shared" si="0"/>
        <v>113931462</v>
      </c>
      <c r="L26" s="351"/>
      <c r="M26" s="61">
        <f>'(D) Tuition Revenue'!AB26</f>
        <v>-4941000</v>
      </c>
      <c r="N26" s="61"/>
      <c r="O26" s="61">
        <f>'(F) SUG '!L26</f>
        <v>4004600</v>
      </c>
      <c r="P26" s="61"/>
      <c r="Q26" s="301">
        <f t="shared" si="2"/>
        <v>-29704400</v>
      </c>
      <c r="R26" s="61"/>
      <c r="S26" s="301">
        <f t="shared" si="3"/>
        <v>112995062</v>
      </c>
    </row>
    <row r="27" spans="1:19" ht="15.75">
      <c r="A27" s="218" t="s">
        <v>18</v>
      </c>
      <c r="B27" s="218"/>
      <c r="C27" s="218">
        <f>'(B) Base Bud Adj'!N27</f>
        <v>123894538</v>
      </c>
      <c r="D27" s="218"/>
      <c r="E27" s="356">
        <v>-1231000</v>
      </c>
      <c r="F27" s="228">
        <v>-5064000</v>
      </c>
      <c r="G27" s="228">
        <v>-18588000</v>
      </c>
      <c r="H27" s="228"/>
      <c r="I27" s="301">
        <f t="shared" si="1"/>
        <v>-24883000</v>
      </c>
      <c r="J27" s="228"/>
      <c r="K27" s="301">
        <f t="shared" si="0"/>
        <v>99011538</v>
      </c>
      <c r="L27" s="351"/>
      <c r="M27" s="61">
        <f>'(D) Tuition Revenue'!AB27</f>
        <v>-2659000</v>
      </c>
      <c r="N27" s="61"/>
      <c r="O27" s="61">
        <f>'(F) SUG '!L27</f>
        <v>1471700</v>
      </c>
      <c r="P27" s="61"/>
      <c r="Q27" s="301">
        <f t="shared" si="2"/>
        <v>-26070300</v>
      </c>
      <c r="R27" s="61"/>
      <c r="S27" s="301">
        <f t="shared" si="3"/>
        <v>97824238</v>
      </c>
    </row>
    <row r="28" spans="1:19" ht="15.75">
      <c r="A28" s="218" t="s">
        <v>19</v>
      </c>
      <c r="B28" s="218"/>
      <c r="C28" s="218">
        <f>'(B) Base Bud Adj'!N28</f>
        <v>63736242</v>
      </c>
      <c r="D28" s="218"/>
      <c r="E28" s="356">
        <v>-604000</v>
      </c>
      <c r="F28" s="228">
        <v>-2679000</v>
      </c>
      <c r="G28" s="228">
        <v>-6094000</v>
      </c>
      <c r="H28" s="228"/>
      <c r="I28" s="301">
        <f t="shared" si="1"/>
        <v>-9377000</v>
      </c>
      <c r="J28" s="228"/>
      <c r="K28" s="301">
        <f t="shared" si="0"/>
        <v>54359242</v>
      </c>
      <c r="L28" s="351"/>
      <c r="M28" s="61">
        <f>'(D) Tuition Revenue'!AB28</f>
        <v>-2009000</v>
      </c>
      <c r="N28" s="61"/>
      <c r="O28" s="61">
        <f>'(F) SUG '!L28</f>
        <v>2988600</v>
      </c>
      <c r="P28" s="61"/>
      <c r="Q28" s="301">
        <f t="shared" si="2"/>
        <v>-8397400</v>
      </c>
      <c r="R28" s="61"/>
      <c r="S28" s="301">
        <f t="shared" si="3"/>
        <v>55338842</v>
      </c>
    </row>
    <row r="29" spans="1:19" ht="15.75">
      <c r="A29" s="218" t="s">
        <v>20</v>
      </c>
      <c r="B29" s="218"/>
      <c r="C29" s="218">
        <f>'(B) Base Bud Adj'!N29</f>
        <v>58465313</v>
      </c>
      <c r="D29" s="218"/>
      <c r="E29" s="356">
        <v>-556000</v>
      </c>
      <c r="F29" s="228">
        <v>-2409000</v>
      </c>
      <c r="G29" s="228">
        <v>-5887000</v>
      </c>
      <c r="H29" s="228"/>
      <c r="I29" s="301">
        <f t="shared" si="1"/>
        <v>-8852000</v>
      </c>
      <c r="J29" s="228"/>
      <c r="K29" s="301">
        <f t="shared" si="0"/>
        <v>49613313</v>
      </c>
      <c r="L29" s="351"/>
      <c r="M29" s="61">
        <f>'(D) Tuition Revenue'!AB29</f>
        <v>-1676000</v>
      </c>
      <c r="N29" s="61"/>
      <c r="O29" s="61">
        <f>'(F) SUG '!L29</f>
        <v>1926700</v>
      </c>
      <c r="P29" s="61"/>
      <c r="Q29" s="301">
        <f t="shared" si="2"/>
        <v>-8601300</v>
      </c>
      <c r="R29" s="61"/>
      <c r="S29" s="301">
        <f t="shared" si="3"/>
        <v>49864013</v>
      </c>
    </row>
    <row r="30" spans="1:19" ht="15.75">
      <c r="A30" s="218" t="s">
        <v>21</v>
      </c>
      <c r="B30" s="218"/>
      <c r="C30" s="218">
        <f>'(B) Base Bud Adj'!N30</f>
        <v>56264897</v>
      </c>
      <c r="D30" s="218"/>
      <c r="E30" s="356">
        <v>-504000</v>
      </c>
      <c r="F30" s="228">
        <v>-2102000</v>
      </c>
      <c r="G30" s="228">
        <v>-4961000</v>
      </c>
      <c r="H30" s="228"/>
      <c r="I30" s="301">
        <f t="shared" si="1"/>
        <v>-7567000</v>
      </c>
      <c r="J30" s="228"/>
      <c r="K30" s="301">
        <f t="shared" si="0"/>
        <v>48697897</v>
      </c>
      <c r="L30" s="351"/>
      <c r="M30" s="61">
        <f>'(D) Tuition Revenue'!AB30</f>
        <v>-1141000</v>
      </c>
      <c r="N30" s="61"/>
      <c r="O30" s="61">
        <f>'(F) SUG '!L30</f>
        <v>1360400</v>
      </c>
      <c r="P30" s="61"/>
      <c r="Q30" s="301">
        <f t="shared" si="2"/>
        <v>-7347600</v>
      </c>
      <c r="R30" s="61"/>
      <c r="S30" s="301">
        <f t="shared" si="3"/>
        <v>48917297</v>
      </c>
    </row>
    <row r="31" spans="1:19" ht="9" customHeight="1">
      <c r="A31" s="218"/>
      <c r="B31" s="218"/>
      <c r="C31" s="218"/>
      <c r="D31" s="218"/>
      <c r="E31" s="356"/>
      <c r="F31" s="228"/>
      <c r="G31" s="228"/>
      <c r="H31" s="228"/>
      <c r="I31" s="301"/>
      <c r="J31" s="228"/>
      <c r="K31" s="301"/>
      <c r="L31" s="228"/>
      <c r="M31" s="40"/>
      <c r="N31" s="40"/>
      <c r="O31" s="40"/>
      <c r="P31" s="40"/>
      <c r="Q31" s="301"/>
      <c r="R31" s="40"/>
      <c r="S31" s="301"/>
    </row>
    <row r="32" spans="1:19" ht="15.75">
      <c r="A32" s="230" t="s">
        <v>22</v>
      </c>
      <c r="B32" s="230"/>
      <c r="C32" s="370">
        <f>SUM(C8:C31)</f>
        <v>2442367142.16</v>
      </c>
      <c r="D32" s="230"/>
      <c r="E32" s="357">
        <f>SUM(E8:E31)</f>
        <v>-26640000</v>
      </c>
      <c r="F32" s="219">
        <f>SUM(F8:F30)</f>
        <v>-114665000</v>
      </c>
      <c r="G32" s="219">
        <f>SUM(G8:G31)</f>
        <v>-280530000</v>
      </c>
      <c r="H32" s="219"/>
      <c r="I32" s="302">
        <f>SUM(I8:I31)</f>
        <v>-421835000</v>
      </c>
      <c r="J32" s="219"/>
      <c r="K32" s="302">
        <f>SUM(K8:K30)</f>
        <v>2020532142.1599998</v>
      </c>
      <c r="L32" s="219"/>
      <c r="M32" s="38">
        <f>SUM(M8:M31)</f>
        <v>-77541000</v>
      </c>
      <c r="N32" s="38"/>
      <c r="O32" s="38">
        <f>SUM(O8:O31)</f>
        <v>77541000</v>
      </c>
      <c r="P32" s="38"/>
      <c r="Q32" s="302">
        <f>SUM(Q8:Q30)</f>
        <v>-421835000</v>
      </c>
      <c r="R32" s="38"/>
      <c r="S32" s="302">
        <f>SUM(S8:S30)</f>
        <v>2020532142.1599998</v>
      </c>
    </row>
    <row r="33" spans="1:19" ht="9" customHeight="1">
      <c r="A33" s="218"/>
      <c r="B33" s="218"/>
      <c r="C33" s="218"/>
      <c r="D33" s="218"/>
      <c r="E33" s="356"/>
      <c r="F33" s="228"/>
      <c r="G33" s="228"/>
      <c r="H33" s="228"/>
      <c r="I33" s="301"/>
      <c r="J33" s="228"/>
      <c r="K33" s="301"/>
      <c r="L33" s="228"/>
      <c r="M33" s="40"/>
      <c r="N33" s="40"/>
      <c r="O33" s="40"/>
      <c r="P33" s="40"/>
      <c r="Q33" s="301"/>
      <c r="R33" s="40"/>
      <c r="S33" s="301"/>
    </row>
    <row r="34" spans="1:19" ht="15.75">
      <c r="A34" s="216" t="s">
        <v>23</v>
      </c>
      <c r="B34" s="216"/>
      <c r="C34" s="216">
        <f>'(B) Base Bud Adj'!N34</f>
        <v>75272352</v>
      </c>
      <c r="D34" s="216"/>
      <c r="E34" s="356">
        <v>0</v>
      </c>
      <c r="F34" s="228">
        <v>0</v>
      </c>
      <c r="G34" s="228">
        <v>-10837000</v>
      </c>
      <c r="H34" s="228"/>
      <c r="I34" s="301">
        <f>SUM(E34:H34)</f>
        <v>-10837000</v>
      </c>
      <c r="J34" s="228"/>
      <c r="K34" s="301">
        <f>C34+I34</f>
        <v>64435352</v>
      </c>
      <c r="L34" s="228"/>
      <c r="M34" s="61">
        <f>'(D) Tuition Revenue'!AB34</f>
        <v>0</v>
      </c>
      <c r="N34" s="26"/>
      <c r="O34" s="26">
        <v>0</v>
      </c>
      <c r="P34" s="26"/>
      <c r="Q34" s="301">
        <f>I34+M34+O34</f>
        <v>-10837000</v>
      </c>
      <c r="R34" s="26"/>
      <c r="S34" s="301">
        <f>C34+Q34</f>
        <v>64435352</v>
      </c>
    </row>
    <row r="35" spans="1:19" ht="15.75">
      <c r="A35" s="216" t="s">
        <v>30</v>
      </c>
      <c r="B35" s="216"/>
      <c r="C35" s="216">
        <f>'(B) Base Bud Adj'!N35</f>
        <v>981735</v>
      </c>
      <c r="D35" s="216"/>
      <c r="E35" s="356">
        <v>0</v>
      </c>
      <c r="F35" s="228">
        <v>0</v>
      </c>
      <c r="G35" s="228">
        <v>0</v>
      </c>
      <c r="H35" s="228"/>
      <c r="I35" s="301">
        <f>SUM(E35:H35)</f>
        <v>0</v>
      </c>
      <c r="J35" s="228"/>
      <c r="K35" s="301">
        <f>C35+I35</f>
        <v>981735</v>
      </c>
      <c r="L35" s="228"/>
      <c r="M35" s="61">
        <f>'(D) Tuition Revenue'!AB35</f>
        <v>0</v>
      </c>
      <c r="N35" s="26"/>
      <c r="O35" s="26">
        <v>0</v>
      </c>
      <c r="P35" s="26"/>
      <c r="Q35" s="301">
        <f>I35+M35+O35</f>
        <v>0</v>
      </c>
      <c r="R35" s="26"/>
      <c r="S35" s="301">
        <f>C35+Q35</f>
        <v>981735</v>
      </c>
    </row>
    <row r="36" spans="1:19" ht="15.75">
      <c r="A36" s="216" t="s">
        <v>24</v>
      </c>
      <c r="B36" s="216"/>
      <c r="C36" s="216">
        <f>'(B) Base Bud Adj'!N36</f>
        <v>2269496</v>
      </c>
      <c r="D36" s="216"/>
      <c r="E36" s="356">
        <v>0</v>
      </c>
      <c r="F36" s="228">
        <v>0</v>
      </c>
      <c r="G36" s="228">
        <v>0</v>
      </c>
      <c r="H36" s="228"/>
      <c r="I36" s="301">
        <f>SUM(E36:H36)</f>
        <v>0</v>
      </c>
      <c r="J36" s="228"/>
      <c r="K36" s="301">
        <f>C36+I36</f>
        <v>2269496</v>
      </c>
      <c r="L36" s="228"/>
      <c r="M36" s="61">
        <f>'(D) Tuition Revenue'!AB36</f>
        <v>0</v>
      </c>
      <c r="N36" s="26"/>
      <c r="O36" s="26">
        <v>0</v>
      </c>
      <c r="P36" s="26"/>
      <c r="Q36" s="301">
        <f>I36+M36+O36</f>
        <v>0</v>
      </c>
      <c r="R36" s="26"/>
      <c r="S36" s="301">
        <f>C36+Q36</f>
        <v>2269496</v>
      </c>
    </row>
    <row r="37" spans="1:19" ht="15.75">
      <c r="A37" s="216" t="s">
        <v>25</v>
      </c>
      <c r="B37" s="216"/>
      <c r="C37" s="216">
        <f>'(B) Base Bud Adj'!N37</f>
        <v>57800</v>
      </c>
      <c r="D37" s="216"/>
      <c r="E37" s="356">
        <v>0</v>
      </c>
      <c r="F37" s="228">
        <v>0</v>
      </c>
      <c r="G37" s="228">
        <v>0</v>
      </c>
      <c r="H37" s="228"/>
      <c r="I37" s="301">
        <f>SUM(E37:H37)</f>
        <v>0</v>
      </c>
      <c r="J37" s="228"/>
      <c r="K37" s="301">
        <f>C37+I37</f>
        <v>57800</v>
      </c>
      <c r="L37" s="228"/>
      <c r="M37" s="61">
        <f>'(D) Tuition Revenue'!AB37</f>
        <v>0</v>
      </c>
      <c r="N37" s="26"/>
      <c r="O37" s="26">
        <v>0</v>
      </c>
      <c r="P37" s="26"/>
      <c r="Q37" s="301">
        <f>I37+M37+O37</f>
        <v>0</v>
      </c>
      <c r="R37" s="26"/>
      <c r="S37" s="301">
        <f>C37+Q37</f>
        <v>57800</v>
      </c>
    </row>
    <row r="38" spans="1:19" ht="15.75">
      <c r="A38" s="232" t="s">
        <v>26</v>
      </c>
      <c r="B38" s="232"/>
      <c r="C38" s="216">
        <f>'(B) Base Bud Adj'!N38</f>
        <v>270324475</v>
      </c>
      <c r="D38" s="232"/>
      <c r="E38" s="356">
        <v>0</v>
      </c>
      <c r="F38" s="228">
        <v>0</v>
      </c>
      <c r="G38" s="228">
        <f>-7436000+(7605900-57000-215000-212000-32000-128000-480000-11000)-66362900</f>
        <v>-67328000</v>
      </c>
      <c r="H38" s="228"/>
      <c r="I38" s="301">
        <f>SUM(E38:H38)</f>
        <v>-67328000</v>
      </c>
      <c r="J38" s="228"/>
      <c r="K38" s="301">
        <f>C38+I38</f>
        <v>202996475</v>
      </c>
      <c r="L38" s="228"/>
      <c r="M38" s="61">
        <f>'(D) Tuition Revenue'!AB38</f>
        <v>0</v>
      </c>
      <c r="N38" s="26"/>
      <c r="O38" s="26">
        <v>0</v>
      </c>
      <c r="P38" s="26"/>
      <c r="Q38" s="301">
        <f>I38+M38+O38</f>
        <v>-67328000</v>
      </c>
      <c r="R38" s="26"/>
      <c r="S38" s="301">
        <f>C38+Q38</f>
        <v>202996475</v>
      </c>
    </row>
    <row r="39" spans="1:19" ht="9" customHeight="1">
      <c r="A39" s="233"/>
      <c r="B39" s="233"/>
      <c r="C39" s="233"/>
      <c r="D39" s="233"/>
      <c r="E39" s="358"/>
      <c r="F39" s="346"/>
      <c r="G39" s="346"/>
      <c r="H39" s="346"/>
      <c r="I39" s="349"/>
      <c r="J39" s="228"/>
      <c r="K39" s="349"/>
      <c r="L39" s="228"/>
      <c r="M39" s="40"/>
      <c r="N39" s="40"/>
      <c r="O39" s="40"/>
      <c r="P39" s="40"/>
      <c r="Q39" s="349"/>
      <c r="R39" s="40"/>
      <c r="S39" s="349"/>
    </row>
    <row r="40" spans="1:19" ht="16.5" thickBot="1">
      <c r="A40" s="231" t="s">
        <v>27</v>
      </c>
      <c r="B40" s="231"/>
      <c r="C40" s="371">
        <f>SUM(C32:C39)</f>
        <v>2791273000.16</v>
      </c>
      <c r="D40" s="231"/>
      <c r="E40" s="350">
        <f>SUM(E32:E38)</f>
        <v>-26640000</v>
      </c>
      <c r="F40" s="220">
        <f>SUM(F32:F38)</f>
        <v>-114665000</v>
      </c>
      <c r="G40" s="220">
        <f>SUM(G32:G39)</f>
        <v>-358695000</v>
      </c>
      <c r="H40" s="220"/>
      <c r="I40" s="303">
        <f>SUM(I32:I39)</f>
        <v>-500000000</v>
      </c>
      <c r="J40" s="220"/>
      <c r="K40" s="303">
        <f>SUM(K32:K38)</f>
        <v>2291273000.16</v>
      </c>
      <c r="L40" s="220"/>
      <c r="M40" s="42">
        <f>SUM(M32:M38)</f>
        <v>-77541000</v>
      </c>
      <c r="N40" s="42"/>
      <c r="O40" s="42">
        <f>SUM(O32:O38)</f>
        <v>77541000</v>
      </c>
      <c r="P40" s="42"/>
      <c r="Q40" s="303">
        <f>SUM(Q32:Q38)</f>
        <v>-500000000</v>
      </c>
      <c r="R40" s="42"/>
      <c r="S40" s="303">
        <f>SUM(S32:S38)</f>
        <v>2291273000.16</v>
      </c>
    </row>
    <row r="41" spans="6:12" ht="9" customHeight="1">
      <c r="F41" s="236"/>
      <c r="G41" s="236"/>
      <c r="H41" s="236"/>
      <c r="I41" s="236"/>
      <c r="J41" s="236"/>
      <c r="K41" s="236"/>
      <c r="L41" s="236"/>
    </row>
    <row r="42" spans="1:12" ht="18" customHeight="1">
      <c r="A42" s="218"/>
      <c r="B42" s="218"/>
      <c r="C42" s="218"/>
      <c r="D42" s="218"/>
      <c r="F42" s="236"/>
      <c r="G42" s="236"/>
      <c r="H42" s="236"/>
      <c r="I42" s="236"/>
      <c r="J42" s="236"/>
      <c r="K42" s="236"/>
      <c r="L42" s="236"/>
    </row>
    <row r="43" spans="2:24" ht="15.75">
      <c r="B43" s="218"/>
      <c r="C43" s="218"/>
      <c r="D43" s="218"/>
      <c r="E43" s="236"/>
      <c r="F43" s="236"/>
      <c r="G43" s="392">
        <f>(7605900-57000-215000-212000-32000-128000-480000-11000)</f>
        <v>6470900</v>
      </c>
      <c r="H43" s="236"/>
      <c r="I43" s="236"/>
      <c r="J43" s="236"/>
      <c r="K43" s="236"/>
      <c r="L43" s="236"/>
      <c r="T43" s="236"/>
      <c r="U43" s="236"/>
      <c r="V43" s="236"/>
      <c r="W43" s="236"/>
      <c r="X43" s="257"/>
    </row>
    <row r="44" spans="5:24" ht="15.75">
      <c r="E44" s="236"/>
      <c r="F44" s="236"/>
      <c r="G44" s="236"/>
      <c r="H44" s="236"/>
      <c r="I44" s="236"/>
      <c r="J44" s="236"/>
      <c r="K44" s="236"/>
      <c r="L44" s="236"/>
      <c r="T44" s="236"/>
      <c r="U44" s="236"/>
      <c r="V44" s="236"/>
      <c r="W44" s="236"/>
      <c r="X44" s="257"/>
    </row>
    <row r="45" spans="5:24" ht="15.75">
      <c r="E45" s="236"/>
      <c r="F45" s="236"/>
      <c r="G45" s="236"/>
      <c r="H45" s="236"/>
      <c r="I45" s="236"/>
      <c r="J45" s="236"/>
      <c r="K45" s="236"/>
      <c r="L45" s="236"/>
      <c r="T45" s="236"/>
      <c r="U45" s="236"/>
      <c r="V45" s="236"/>
      <c r="W45" s="236"/>
      <c r="X45" s="236"/>
    </row>
    <row r="46" spans="5:24" ht="15.75">
      <c r="E46" s="236"/>
      <c r="F46" s="236"/>
      <c r="G46" s="236"/>
      <c r="H46" s="236"/>
      <c r="I46" s="236"/>
      <c r="J46" s="236"/>
      <c r="K46" s="236"/>
      <c r="L46" s="236"/>
      <c r="T46" s="236"/>
      <c r="U46" s="236"/>
      <c r="V46" s="236"/>
      <c r="W46" s="236"/>
      <c r="X46" s="236"/>
    </row>
    <row r="47" spans="5:24" ht="15.75">
      <c r="E47" s="236"/>
      <c r="F47" s="236"/>
      <c r="G47" s="236"/>
      <c r="H47" s="236"/>
      <c r="I47" s="236"/>
      <c r="J47" s="236"/>
      <c r="K47" s="236"/>
      <c r="L47" s="236"/>
      <c r="T47" s="236"/>
      <c r="U47" s="236"/>
      <c r="V47" s="236"/>
      <c r="W47" s="236"/>
      <c r="X47" s="236"/>
    </row>
    <row r="48" spans="5:24" ht="15.75">
      <c r="E48" s="236"/>
      <c r="F48" s="236"/>
      <c r="G48" s="236"/>
      <c r="H48" s="236"/>
      <c r="I48" s="236"/>
      <c r="J48" s="236"/>
      <c r="K48" s="236"/>
      <c r="L48" s="236"/>
      <c r="T48" s="236"/>
      <c r="U48" s="236"/>
      <c r="V48" s="236"/>
      <c r="W48" s="236"/>
      <c r="X48" s="236"/>
    </row>
    <row r="49" spans="5:24" ht="15.75">
      <c r="E49" s="236"/>
      <c r="F49" s="236"/>
      <c r="G49" s="236"/>
      <c r="H49" s="236"/>
      <c r="I49" s="236"/>
      <c r="J49" s="236"/>
      <c r="K49" s="236"/>
      <c r="L49" s="236"/>
      <c r="T49" s="236"/>
      <c r="U49" s="236"/>
      <c r="V49" s="236"/>
      <c r="W49" s="236"/>
      <c r="X49" s="236"/>
    </row>
    <row r="50" spans="1:4" ht="15.75">
      <c r="A50" s="235"/>
      <c r="B50" s="235"/>
      <c r="C50" s="235"/>
      <c r="D50" s="235"/>
    </row>
    <row r="51" spans="1:4" ht="15.75">
      <c r="A51" s="235"/>
      <c r="B51" s="235"/>
      <c r="C51" s="235"/>
      <c r="D51" s="235"/>
    </row>
    <row r="52" spans="1:4" ht="15.75">
      <c r="A52" s="235"/>
      <c r="B52" s="235"/>
      <c r="C52" s="235"/>
      <c r="D52" s="235"/>
    </row>
    <row r="53" spans="1:4" ht="15.75">
      <c r="A53" s="235"/>
      <c r="B53" s="235"/>
      <c r="C53" s="235"/>
      <c r="D53" s="235"/>
    </row>
    <row r="54" spans="1:4" ht="15.75">
      <c r="A54" s="235"/>
      <c r="B54" s="235"/>
      <c r="C54" s="235"/>
      <c r="D54" s="235"/>
    </row>
    <row r="55" spans="1:4" ht="15.75">
      <c r="A55" s="237"/>
      <c r="B55" s="237"/>
      <c r="C55" s="237"/>
      <c r="D55" s="237"/>
    </row>
    <row r="56" spans="1:4" ht="15.75">
      <c r="A56" s="235"/>
      <c r="B56" s="235"/>
      <c r="C56" s="235"/>
      <c r="D56" s="235"/>
    </row>
    <row r="57" spans="1:4" ht="15.75">
      <c r="A57" s="235"/>
      <c r="B57" s="235"/>
      <c r="C57" s="235"/>
      <c r="D57" s="235"/>
    </row>
    <row r="58" spans="1:4" ht="15.75">
      <c r="A58" s="235"/>
      <c r="B58" s="235"/>
      <c r="C58" s="235"/>
      <c r="D58" s="235"/>
    </row>
    <row r="59" spans="1:4" ht="15.75">
      <c r="A59" s="235"/>
      <c r="B59" s="235"/>
      <c r="C59" s="235"/>
      <c r="D59" s="235"/>
    </row>
    <row r="60" spans="1:4" ht="15.75">
      <c r="A60" s="235"/>
      <c r="B60" s="235"/>
      <c r="C60" s="235"/>
      <c r="D60" s="235"/>
    </row>
    <row r="61" spans="1:4" ht="15.75">
      <c r="A61" s="235"/>
      <c r="B61" s="235"/>
      <c r="C61" s="235"/>
      <c r="D61" s="235"/>
    </row>
    <row r="62" spans="1:4" ht="15.75">
      <c r="A62" s="235"/>
      <c r="B62" s="235"/>
      <c r="C62" s="235"/>
      <c r="D62" s="235"/>
    </row>
    <row r="63" spans="1:4" ht="15.75">
      <c r="A63" s="237"/>
      <c r="B63" s="237"/>
      <c r="C63" s="237"/>
      <c r="D63" s="237"/>
    </row>
    <row r="64" spans="1:4" ht="15.75">
      <c r="A64" s="235"/>
      <c r="B64" s="235"/>
      <c r="C64" s="235"/>
      <c r="D64" s="235"/>
    </row>
    <row r="65" spans="1:4" ht="15.75">
      <c r="A65" s="235"/>
      <c r="B65" s="235"/>
      <c r="C65" s="235"/>
      <c r="D65" s="235"/>
    </row>
    <row r="66" spans="1:4" ht="15.75">
      <c r="A66" s="235"/>
      <c r="B66" s="235"/>
      <c r="C66" s="235"/>
      <c r="D66" s="235"/>
    </row>
    <row r="67" spans="1:4" ht="15.75">
      <c r="A67" s="235"/>
      <c r="B67" s="235"/>
      <c r="C67" s="235"/>
      <c r="D67" s="235"/>
    </row>
    <row r="68" spans="1:4" ht="15.75">
      <c r="A68" s="235"/>
      <c r="B68" s="235"/>
      <c r="C68" s="235"/>
      <c r="D68" s="235"/>
    </row>
    <row r="69" spans="1:4" ht="15.75">
      <c r="A69" s="235"/>
      <c r="B69" s="235"/>
      <c r="C69" s="235"/>
      <c r="D69" s="235"/>
    </row>
  </sheetData>
  <sheetProtection/>
  <mergeCells count="2">
    <mergeCell ref="E4:I4"/>
    <mergeCell ref="M4:O4"/>
  </mergeCells>
  <printOptions/>
  <pageMargins left="0.5" right="0.25" top="0.25" bottom="0.25" header="0.3" footer="0.3"/>
  <pageSetup fitToHeight="1" fitToWidth="1" horizontalDpi="600" verticalDpi="600" orientation="landscape" paperSize="5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23" sqref="AB23"/>
    </sheetView>
  </sheetViews>
  <sheetFormatPr defaultColWidth="9.33203125" defaultRowHeight="12.75"/>
  <cols>
    <col min="1" max="1" width="24.16015625" style="194" customWidth="1"/>
    <col min="2" max="2" width="15.66015625" style="194" customWidth="1"/>
    <col min="3" max="3" width="16.33203125" style="194" bestFit="1" customWidth="1"/>
    <col min="4" max="4" width="15.5" style="194" bestFit="1" customWidth="1"/>
    <col min="5" max="5" width="17" style="194" bestFit="1" customWidth="1"/>
    <col min="6" max="6" width="15.5" style="194" bestFit="1" customWidth="1"/>
    <col min="7" max="7" width="1.83203125" style="194" customWidth="1"/>
    <col min="8" max="8" width="21" style="194" customWidth="1"/>
    <col min="9" max="9" width="1.83203125" style="194" customWidth="1"/>
    <col min="10" max="10" width="16.83203125" style="194" bestFit="1" customWidth="1"/>
    <col min="11" max="11" width="17.16015625" style="194" bestFit="1" customWidth="1"/>
    <col min="12" max="14" width="15" style="194" bestFit="1" customWidth="1"/>
    <col min="15" max="15" width="16.16015625" style="194" bestFit="1" customWidth="1"/>
    <col min="16" max="16" width="20" style="194" bestFit="1" customWidth="1"/>
    <col min="17" max="17" width="16.33203125" style="194" bestFit="1" customWidth="1"/>
    <col min="18" max="18" width="17.16015625" style="194" bestFit="1" customWidth="1"/>
    <col min="19" max="19" width="16.16015625" style="194" customWidth="1"/>
    <col min="20" max="20" width="16.33203125" style="194" bestFit="1" customWidth="1"/>
    <col min="21" max="22" width="15.5" style="194" bestFit="1" customWidth="1"/>
    <col min="23" max="23" width="16.16015625" style="194" bestFit="1" customWidth="1"/>
    <col min="24" max="24" width="20.66015625" style="194" customWidth="1"/>
    <col min="25" max="25" width="16.83203125" style="194" bestFit="1" customWidth="1"/>
    <col min="26" max="26" width="17.16015625" style="194" bestFit="1" customWidth="1"/>
    <col min="27" max="27" width="19.33203125" style="194" bestFit="1" customWidth="1"/>
    <col min="28" max="28" width="16.33203125" style="194" bestFit="1" customWidth="1"/>
    <col min="29" max="29" width="18.16015625" style="194" bestFit="1" customWidth="1"/>
    <col min="30" max="235" width="9.33203125" style="194" customWidth="1"/>
    <col min="236" max="236" width="24.16015625" style="194" customWidth="1"/>
    <col min="237" max="239" width="16.5" style="194" customWidth="1"/>
    <col min="240" max="240" width="18" style="194" customWidth="1"/>
    <col min="241" max="241" width="16.5" style="194" customWidth="1"/>
    <col min="242" max="242" width="4" style="194" customWidth="1"/>
    <col min="243" max="245" width="9.33203125" style="194" customWidth="1"/>
    <col min="246" max="246" width="22.5" style="194" customWidth="1"/>
    <col min="247" max="247" width="3.83203125" style="194" customWidth="1"/>
    <col min="248" max="248" width="16.5" style="194" customWidth="1"/>
    <col min="249" max="249" width="17.33203125" style="194" customWidth="1"/>
    <col min="250" max="253" width="16.5" style="194" customWidth="1"/>
    <col min="254" max="255" width="9.33203125" style="194" customWidth="1"/>
    <col min="256" max="16384" width="18.83203125" style="194" customWidth="1"/>
  </cols>
  <sheetData>
    <row r="1" spans="1:29" s="211" customFormat="1" ht="16.5">
      <c r="A1" s="273" t="s">
        <v>182</v>
      </c>
      <c r="S1" s="142" t="s">
        <v>183</v>
      </c>
      <c r="T1" s="142"/>
      <c r="U1" s="142"/>
      <c r="AC1" s="210"/>
    </row>
    <row r="2" spans="1:29" s="208" customFormat="1" ht="6" customHeight="1">
      <c r="A2" s="209"/>
      <c r="AC2" s="207"/>
    </row>
    <row r="3" spans="1:29" ht="15.75" customHeight="1" thickBot="1">
      <c r="A3" s="274"/>
      <c r="B3" s="85">
        <v>-1</v>
      </c>
      <c r="C3" s="85">
        <v>-2</v>
      </c>
      <c r="D3" s="85">
        <v>-3</v>
      </c>
      <c r="E3" s="85">
        <v>-4</v>
      </c>
      <c r="F3" s="85">
        <v>-5</v>
      </c>
      <c r="G3" s="85"/>
      <c r="H3" s="85">
        <v>-6</v>
      </c>
      <c r="I3" s="85"/>
      <c r="J3" s="85">
        <v>-7</v>
      </c>
      <c r="K3" s="85">
        <v>-8</v>
      </c>
      <c r="L3" s="85">
        <v>-9</v>
      </c>
      <c r="M3" s="85">
        <v>-10</v>
      </c>
      <c r="N3" s="85">
        <v>-11</v>
      </c>
      <c r="O3" s="85">
        <v>-12</v>
      </c>
      <c r="P3" s="85">
        <v>-13</v>
      </c>
      <c r="Q3" s="85">
        <v>-14</v>
      </c>
      <c r="R3" s="85">
        <v>-15</v>
      </c>
      <c r="S3" s="85">
        <v>-16</v>
      </c>
      <c r="T3" s="85">
        <v>-17</v>
      </c>
      <c r="U3" s="85">
        <v>-18</v>
      </c>
      <c r="V3" s="85">
        <v>-19</v>
      </c>
      <c r="W3" s="85">
        <v>-20</v>
      </c>
      <c r="X3" s="85">
        <v>-21</v>
      </c>
      <c r="Y3" s="85">
        <v>-22</v>
      </c>
      <c r="Z3" s="85">
        <v>-23</v>
      </c>
      <c r="AA3" s="85">
        <v>-24</v>
      </c>
      <c r="AB3" s="85">
        <v>-25</v>
      </c>
      <c r="AC3" s="85">
        <v>-26</v>
      </c>
    </row>
    <row r="4" spans="1:29" ht="18" thickBot="1">
      <c r="A4" s="275"/>
      <c r="B4" s="405" t="s">
        <v>66</v>
      </c>
      <c r="C4" s="406"/>
      <c r="D4" s="406"/>
      <c r="E4" s="406"/>
      <c r="F4" s="406"/>
      <c r="G4" s="406"/>
      <c r="H4" s="406"/>
      <c r="I4" s="406"/>
      <c r="J4" s="406"/>
      <c r="K4" s="407"/>
      <c r="L4" s="406" t="s">
        <v>67</v>
      </c>
      <c r="M4" s="406"/>
      <c r="N4" s="406"/>
      <c r="O4" s="406"/>
      <c r="P4" s="406"/>
      <c r="Q4" s="406"/>
      <c r="R4" s="407"/>
      <c r="S4" s="408" t="s">
        <v>40</v>
      </c>
      <c r="T4" s="409"/>
      <c r="U4" s="409"/>
      <c r="V4" s="409"/>
      <c r="W4" s="409"/>
      <c r="X4" s="409"/>
      <c r="Y4" s="409"/>
      <c r="Z4" s="410"/>
      <c r="AA4" s="401" t="s">
        <v>63</v>
      </c>
      <c r="AB4" s="402"/>
      <c r="AC4" s="403"/>
    </row>
    <row r="5" spans="1:29" s="383" customFormat="1" ht="102" customHeight="1" thickBot="1">
      <c r="A5" s="382"/>
      <c r="B5" s="287" t="s">
        <v>149</v>
      </c>
      <c r="C5" s="287" t="s">
        <v>91</v>
      </c>
      <c r="D5" s="287" t="s">
        <v>92</v>
      </c>
      <c r="E5" s="287" t="s">
        <v>171</v>
      </c>
      <c r="F5" s="287" t="s">
        <v>150</v>
      </c>
      <c r="G5" s="287"/>
      <c r="H5" s="287" t="s">
        <v>169</v>
      </c>
      <c r="I5" s="287"/>
      <c r="J5" s="380" t="s">
        <v>165</v>
      </c>
      <c r="K5" s="288" t="s">
        <v>166</v>
      </c>
      <c r="L5" s="287" t="s">
        <v>149</v>
      </c>
      <c r="M5" s="287" t="s">
        <v>91</v>
      </c>
      <c r="N5" s="287" t="s">
        <v>93</v>
      </c>
      <c r="O5" s="287" t="s">
        <v>171</v>
      </c>
      <c r="P5" s="287" t="s">
        <v>170</v>
      </c>
      <c r="Q5" s="380" t="s">
        <v>167</v>
      </c>
      <c r="R5" s="288" t="s">
        <v>166</v>
      </c>
      <c r="S5" s="380" t="s">
        <v>41</v>
      </c>
      <c r="T5" s="287" t="s">
        <v>91</v>
      </c>
      <c r="U5" s="287" t="s">
        <v>93</v>
      </c>
      <c r="V5" s="287" t="s">
        <v>150</v>
      </c>
      <c r="W5" s="287" t="s">
        <v>171</v>
      </c>
      <c r="X5" s="287" t="s">
        <v>168</v>
      </c>
      <c r="Y5" s="380" t="s">
        <v>167</v>
      </c>
      <c r="Z5" s="288" t="s">
        <v>166</v>
      </c>
      <c r="AA5" s="289" t="s">
        <v>172</v>
      </c>
      <c r="AB5" s="380" t="s">
        <v>123</v>
      </c>
      <c r="AC5" s="381" t="s">
        <v>173</v>
      </c>
    </row>
    <row r="6" spans="1:29" s="327" customFormat="1" ht="18" customHeight="1">
      <c r="A6" s="316"/>
      <c r="B6" s="317"/>
      <c r="C6" s="317"/>
      <c r="D6" s="317"/>
      <c r="E6" s="317"/>
      <c r="F6" s="317"/>
      <c r="G6" s="404"/>
      <c r="H6" s="404"/>
      <c r="I6" s="404"/>
      <c r="J6" s="317"/>
      <c r="K6" s="318" t="s">
        <v>94</v>
      </c>
      <c r="L6" s="319"/>
      <c r="M6" s="320"/>
      <c r="N6" s="320"/>
      <c r="O6" s="320"/>
      <c r="P6" s="321" t="s">
        <v>95</v>
      </c>
      <c r="Q6" s="317"/>
      <c r="R6" s="322" t="s">
        <v>96</v>
      </c>
      <c r="S6" s="323" t="s">
        <v>97</v>
      </c>
      <c r="T6" s="323" t="s">
        <v>98</v>
      </c>
      <c r="U6" s="323" t="s">
        <v>99</v>
      </c>
      <c r="V6" s="321" t="s">
        <v>100</v>
      </c>
      <c r="W6" s="323" t="s">
        <v>101</v>
      </c>
      <c r="X6" s="323" t="s">
        <v>102</v>
      </c>
      <c r="Y6" s="323" t="s">
        <v>103</v>
      </c>
      <c r="Z6" s="324" t="s">
        <v>104</v>
      </c>
      <c r="AA6" s="323" t="s">
        <v>174</v>
      </c>
      <c r="AB6" s="325" t="s">
        <v>105</v>
      </c>
      <c r="AC6" s="326" t="s">
        <v>106</v>
      </c>
    </row>
    <row r="7" spans="1:29" s="272" customFormat="1" ht="6" customHeight="1">
      <c r="A7" s="276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  <c r="M7" s="205"/>
      <c r="N7" s="205"/>
      <c r="O7" s="205"/>
      <c r="P7" s="205"/>
      <c r="Q7" s="205"/>
      <c r="R7" s="204"/>
      <c r="S7" s="205"/>
      <c r="T7" s="205"/>
      <c r="U7" s="205"/>
      <c r="V7" s="205"/>
      <c r="W7" s="205"/>
      <c r="X7" s="205"/>
      <c r="Y7" s="205"/>
      <c r="Z7" s="204"/>
      <c r="AA7" s="206"/>
      <c r="AB7" s="205"/>
      <c r="AC7" s="204"/>
    </row>
    <row r="8" spans="1:29" ht="15">
      <c r="A8" s="277" t="s">
        <v>0</v>
      </c>
      <c r="B8" s="143">
        <v>-112000</v>
      </c>
      <c r="C8" s="143">
        <v>0</v>
      </c>
      <c r="D8" s="143">
        <v>729000</v>
      </c>
      <c r="E8" s="143">
        <v>167000</v>
      </c>
      <c r="F8" s="143">
        <v>949000</v>
      </c>
      <c r="G8" s="143"/>
      <c r="H8" s="143">
        <v>-502000</v>
      </c>
      <c r="I8" s="143"/>
      <c r="J8" s="143">
        <v>3177000</v>
      </c>
      <c r="K8" s="200">
        <f>-ROUND((J8/3)/1000,0)*1000</f>
        <v>-1059000</v>
      </c>
      <c r="L8" s="150">
        <v>50000</v>
      </c>
      <c r="M8" s="143">
        <v>0</v>
      </c>
      <c r="N8" s="143">
        <v>12000</v>
      </c>
      <c r="O8" s="143">
        <v>3000</v>
      </c>
      <c r="P8" s="143">
        <v>-5000</v>
      </c>
      <c r="Q8" s="143">
        <v>52000</v>
      </c>
      <c r="R8" s="149">
        <f>-ROUND(Q8/3,-3)</f>
        <v>-17000</v>
      </c>
      <c r="S8" s="143">
        <f>B8+L8</f>
        <v>-62000</v>
      </c>
      <c r="T8" s="143">
        <f>C8+M8</f>
        <v>0</v>
      </c>
      <c r="U8" s="143">
        <f>D8+N8</f>
        <v>741000</v>
      </c>
      <c r="V8" s="143">
        <f>F8</f>
        <v>949000</v>
      </c>
      <c r="W8" s="143">
        <f>E8+O8</f>
        <v>170000</v>
      </c>
      <c r="X8" s="143">
        <f>H8+P8</f>
        <v>-507000</v>
      </c>
      <c r="Y8" s="143">
        <f>J8+Q8</f>
        <v>3229000</v>
      </c>
      <c r="Z8" s="149">
        <f>K8+R8</f>
        <v>-1076000</v>
      </c>
      <c r="AA8" s="150">
        <f>S8+T8+V8+W8+Y8+U8</f>
        <v>5027000</v>
      </c>
      <c r="AB8" s="143">
        <f>X8+Z8</f>
        <v>-1583000</v>
      </c>
      <c r="AC8" s="149">
        <f>AA8+AB8</f>
        <v>3444000</v>
      </c>
    </row>
    <row r="9" spans="1:29" ht="15">
      <c r="A9" s="278" t="s">
        <v>1</v>
      </c>
      <c r="B9" s="144">
        <v>188000</v>
      </c>
      <c r="C9" s="144">
        <v>-23000</v>
      </c>
      <c r="D9" s="144">
        <v>361000</v>
      </c>
      <c r="E9" s="144">
        <v>0</v>
      </c>
      <c r="F9" s="144">
        <v>974000</v>
      </c>
      <c r="G9" s="144"/>
      <c r="H9" s="144">
        <v>-325000</v>
      </c>
      <c r="I9" s="144"/>
      <c r="J9" s="144">
        <v>1610000</v>
      </c>
      <c r="K9" s="144">
        <f aca="true" t="shared" si="0" ref="K9:K30">-ROUND((J9/3)/1000,0)*1000</f>
        <v>-537000</v>
      </c>
      <c r="L9" s="141">
        <v>1000</v>
      </c>
      <c r="M9" s="144">
        <v>0</v>
      </c>
      <c r="N9" s="144">
        <v>1000</v>
      </c>
      <c r="O9" s="144">
        <v>0</v>
      </c>
      <c r="P9" s="144">
        <v>0</v>
      </c>
      <c r="Q9" s="144">
        <v>4000</v>
      </c>
      <c r="R9" s="145">
        <f aca="true" t="shared" si="1" ref="R9:R30">-ROUND(Q9/3,-3)</f>
        <v>-1000</v>
      </c>
      <c r="S9" s="144">
        <f aca="true" t="shared" si="2" ref="S9:S30">B9+L9</f>
        <v>189000</v>
      </c>
      <c r="T9" s="144">
        <f aca="true" t="shared" si="3" ref="T9:T30">C9+M9</f>
        <v>-23000</v>
      </c>
      <c r="U9" s="144">
        <f aca="true" t="shared" si="4" ref="U9:U30">D9+N9</f>
        <v>362000</v>
      </c>
      <c r="V9" s="144">
        <f aca="true" t="shared" si="5" ref="V9:V30">F9</f>
        <v>974000</v>
      </c>
      <c r="W9" s="144">
        <f aca="true" t="shared" si="6" ref="W9:W30">E9+O9</f>
        <v>0</v>
      </c>
      <c r="X9" s="144">
        <f aca="true" t="shared" si="7" ref="X9:X30">H9+P9</f>
        <v>-325000</v>
      </c>
      <c r="Y9" s="144">
        <f aca="true" t="shared" si="8" ref="Y9:Y30">J9+Q9</f>
        <v>1614000</v>
      </c>
      <c r="Z9" s="145">
        <f aca="true" t="shared" si="9" ref="Z9:Z30">K9+R9</f>
        <v>-538000</v>
      </c>
      <c r="AA9" s="141">
        <f>S9+T9+V9+W9+Y9+U9</f>
        <v>3116000</v>
      </c>
      <c r="AB9" s="144">
        <f>X9+Z9</f>
        <v>-863000</v>
      </c>
      <c r="AC9" s="145">
        <f>AA9+AB9</f>
        <v>2253000</v>
      </c>
    </row>
    <row r="10" spans="1:29" ht="15">
      <c r="A10" s="278" t="s">
        <v>2</v>
      </c>
      <c r="B10" s="144">
        <v>651000</v>
      </c>
      <c r="C10" s="144">
        <v>-614000</v>
      </c>
      <c r="D10" s="144">
        <v>1518000</v>
      </c>
      <c r="E10" s="144">
        <v>0</v>
      </c>
      <c r="F10" s="144">
        <v>1094000</v>
      </c>
      <c r="G10" s="144"/>
      <c r="H10" s="144">
        <v>-754000</v>
      </c>
      <c r="I10" s="144"/>
      <c r="J10" s="144">
        <v>6526000</v>
      </c>
      <c r="K10" s="144">
        <f t="shared" si="0"/>
        <v>-2175000</v>
      </c>
      <c r="L10" s="141">
        <v>261000</v>
      </c>
      <c r="M10" s="144">
        <v>-63000</v>
      </c>
      <c r="N10" s="144">
        <v>58000</v>
      </c>
      <c r="O10" s="144">
        <v>0</v>
      </c>
      <c r="P10" s="144">
        <v>-19000</v>
      </c>
      <c r="Q10" s="144">
        <v>244000</v>
      </c>
      <c r="R10" s="145">
        <f t="shared" si="1"/>
        <v>-81000</v>
      </c>
      <c r="S10" s="144">
        <f t="shared" si="2"/>
        <v>912000</v>
      </c>
      <c r="T10" s="144">
        <f t="shared" si="3"/>
        <v>-677000</v>
      </c>
      <c r="U10" s="144">
        <f t="shared" si="4"/>
        <v>1576000</v>
      </c>
      <c r="V10" s="144">
        <f t="shared" si="5"/>
        <v>1094000</v>
      </c>
      <c r="W10" s="144">
        <f t="shared" si="6"/>
        <v>0</v>
      </c>
      <c r="X10" s="144">
        <f t="shared" si="7"/>
        <v>-773000</v>
      </c>
      <c r="Y10" s="144">
        <f t="shared" si="8"/>
        <v>6770000</v>
      </c>
      <c r="Z10" s="145">
        <f t="shared" si="9"/>
        <v>-2256000</v>
      </c>
      <c r="AA10" s="141">
        <f aca="true" t="shared" si="10" ref="AA10:AA30">S10+T10+V10+W10+Y10+U10</f>
        <v>9675000</v>
      </c>
      <c r="AB10" s="144">
        <f aca="true" t="shared" si="11" ref="AB10:AB30">X10+Z10</f>
        <v>-3029000</v>
      </c>
      <c r="AC10" s="145">
        <f aca="true" t="shared" si="12" ref="AC10:AC30">AA10+AB10</f>
        <v>6646000</v>
      </c>
    </row>
    <row r="11" spans="1:29" ht="15">
      <c r="A11" s="278" t="s">
        <v>3</v>
      </c>
      <c r="B11" s="144">
        <v>-950000</v>
      </c>
      <c r="C11" s="144">
        <v>-714000</v>
      </c>
      <c r="D11" s="144">
        <v>1183000</v>
      </c>
      <c r="E11" s="144">
        <v>0</v>
      </c>
      <c r="F11" s="144">
        <v>2113000</v>
      </c>
      <c r="G11" s="144"/>
      <c r="H11" s="144">
        <v>-784000</v>
      </c>
      <c r="I11" s="144"/>
      <c r="J11" s="144">
        <v>5231000</v>
      </c>
      <c r="K11" s="144">
        <f t="shared" si="0"/>
        <v>-1744000</v>
      </c>
      <c r="L11" s="141">
        <v>126000</v>
      </c>
      <c r="M11" s="144">
        <v>-36000</v>
      </c>
      <c r="N11" s="144">
        <v>16000</v>
      </c>
      <c r="O11" s="144">
        <v>0</v>
      </c>
      <c r="P11" s="144">
        <v>-5000</v>
      </c>
      <c r="Q11" s="144">
        <v>58000</v>
      </c>
      <c r="R11" s="145">
        <f t="shared" si="1"/>
        <v>-19000</v>
      </c>
      <c r="S11" s="144">
        <f t="shared" si="2"/>
        <v>-824000</v>
      </c>
      <c r="T11" s="144">
        <f t="shared" si="3"/>
        <v>-750000</v>
      </c>
      <c r="U11" s="144">
        <f t="shared" si="4"/>
        <v>1199000</v>
      </c>
      <c r="V11" s="144">
        <f t="shared" si="5"/>
        <v>2113000</v>
      </c>
      <c r="W11" s="144">
        <f t="shared" si="6"/>
        <v>0</v>
      </c>
      <c r="X11" s="144">
        <f t="shared" si="7"/>
        <v>-789000</v>
      </c>
      <c r="Y11" s="144">
        <f t="shared" si="8"/>
        <v>5289000</v>
      </c>
      <c r="Z11" s="145">
        <f t="shared" si="9"/>
        <v>-1763000</v>
      </c>
      <c r="AA11" s="141">
        <f t="shared" si="10"/>
        <v>7027000</v>
      </c>
      <c r="AB11" s="144">
        <f t="shared" si="11"/>
        <v>-2552000</v>
      </c>
      <c r="AC11" s="145">
        <f t="shared" si="12"/>
        <v>4475000</v>
      </c>
    </row>
    <row r="12" spans="1:29" ht="15">
      <c r="A12" s="278" t="s">
        <v>29</v>
      </c>
      <c r="B12" s="144">
        <v>1080000</v>
      </c>
      <c r="C12" s="144">
        <v>0</v>
      </c>
      <c r="D12" s="144">
        <v>1174000</v>
      </c>
      <c r="E12" s="144">
        <v>659000</v>
      </c>
      <c r="F12" s="144">
        <v>719000</v>
      </c>
      <c r="G12" s="144"/>
      <c r="H12" s="144">
        <v>-757000</v>
      </c>
      <c r="I12" s="144"/>
      <c r="J12" s="144">
        <v>5039000</v>
      </c>
      <c r="K12" s="144">
        <f t="shared" si="0"/>
        <v>-1680000</v>
      </c>
      <c r="L12" s="141">
        <v>843000</v>
      </c>
      <c r="M12" s="144">
        <v>0</v>
      </c>
      <c r="N12" s="144">
        <v>124000</v>
      </c>
      <c r="O12" s="144">
        <v>69000</v>
      </c>
      <c r="P12" s="144">
        <v>-64000</v>
      </c>
      <c r="Q12" s="144">
        <v>529000</v>
      </c>
      <c r="R12" s="145">
        <f t="shared" si="1"/>
        <v>-176000</v>
      </c>
      <c r="S12" s="144">
        <f t="shared" si="2"/>
        <v>1923000</v>
      </c>
      <c r="T12" s="144">
        <f t="shared" si="3"/>
        <v>0</v>
      </c>
      <c r="U12" s="144">
        <f t="shared" si="4"/>
        <v>1298000</v>
      </c>
      <c r="V12" s="144">
        <f t="shared" si="5"/>
        <v>719000</v>
      </c>
      <c r="W12" s="144">
        <f t="shared" si="6"/>
        <v>728000</v>
      </c>
      <c r="X12" s="144">
        <f t="shared" si="7"/>
        <v>-821000</v>
      </c>
      <c r="Y12" s="144">
        <f t="shared" si="8"/>
        <v>5568000</v>
      </c>
      <c r="Z12" s="145">
        <f t="shared" si="9"/>
        <v>-1856000</v>
      </c>
      <c r="AA12" s="141">
        <f t="shared" si="10"/>
        <v>10236000</v>
      </c>
      <c r="AB12" s="144">
        <f t="shared" si="11"/>
        <v>-2677000</v>
      </c>
      <c r="AC12" s="145">
        <f t="shared" si="12"/>
        <v>7559000</v>
      </c>
    </row>
    <row r="13" spans="1:29" ht="15">
      <c r="A13" s="278" t="s">
        <v>4</v>
      </c>
      <c r="B13" s="144">
        <v>-544000</v>
      </c>
      <c r="C13" s="144">
        <v>-339000</v>
      </c>
      <c r="D13" s="144">
        <v>1984000</v>
      </c>
      <c r="E13" s="144">
        <v>0</v>
      </c>
      <c r="F13" s="144">
        <v>1550000</v>
      </c>
      <c r="G13" s="144"/>
      <c r="H13" s="144">
        <v>-992000</v>
      </c>
      <c r="I13" s="144"/>
      <c r="J13" s="144">
        <v>8557000</v>
      </c>
      <c r="K13" s="144">
        <f t="shared" si="0"/>
        <v>-2852000</v>
      </c>
      <c r="L13" s="141">
        <v>-447000</v>
      </c>
      <c r="M13" s="144">
        <v>-54000</v>
      </c>
      <c r="N13" s="144">
        <v>54000</v>
      </c>
      <c r="O13" s="144">
        <v>0</v>
      </c>
      <c r="P13" s="144">
        <v>-18000</v>
      </c>
      <c r="Q13" s="144">
        <v>228000</v>
      </c>
      <c r="R13" s="145">
        <f t="shared" si="1"/>
        <v>-76000</v>
      </c>
      <c r="S13" s="144">
        <f t="shared" si="2"/>
        <v>-991000</v>
      </c>
      <c r="T13" s="144">
        <f t="shared" si="3"/>
        <v>-393000</v>
      </c>
      <c r="U13" s="144">
        <f t="shared" si="4"/>
        <v>2038000</v>
      </c>
      <c r="V13" s="144">
        <f t="shared" si="5"/>
        <v>1550000</v>
      </c>
      <c r="W13" s="144">
        <f t="shared" si="6"/>
        <v>0</v>
      </c>
      <c r="X13" s="144">
        <f t="shared" si="7"/>
        <v>-1010000</v>
      </c>
      <c r="Y13" s="144">
        <f t="shared" si="8"/>
        <v>8785000</v>
      </c>
      <c r="Z13" s="145">
        <f t="shared" si="9"/>
        <v>-2928000</v>
      </c>
      <c r="AA13" s="141">
        <f t="shared" si="10"/>
        <v>10989000</v>
      </c>
      <c r="AB13" s="144">
        <f t="shared" si="11"/>
        <v>-3938000</v>
      </c>
      <c r="AC13" s="145">
        <f t="shared" si="12"/>
        <v>7051000</v>
      </c>
    </row>
    <row r="14" spans="1:29" ht="15">
      <c r="A14" s="278" t="s">
        <v>5</v>
      </c>
      <c r="B14" s="144">
        <v>-1338000</v>
      </c>
      <c r="C14" s="144">
        <v>-2355000</v>
      </c>
      <c r="D14" s="144">
        <v>3225000</v>
      </c>
      <c r="E14" s="144">
        <v>0</v>
      </c>
      <c r="F14" s="144">
        <v>6912000</v>
      </c>
      <c r="G14" s="144"/>
      <c r="H14" s="144">
        <v>-2430000</v>
      </c>
      <c r="I14" s="144"/>
      <c r="J14" s="144">
        <v>14347000</v>
      </c>
      <c r="K14" s="144">
        <f t="shared" si="0"/>
        <v>-4782000</v>
      </c>
      <c r="L14" s="141">
        <v>-446000</v>
      </c>
      <c r="M14" s="144">
        <v>-282000</v>
      </c>
      <c r="N14" s="144">
        <v>110000</v>
      </c>
      <c r="O14" s="144">
        <v>0</v>
      </c>
      <c r="P14" s="144">
        <v>-37000</v>
      </c>
      <c r="Q14" s="144">
        <v>472000</v>
      </c>
      <c r="R14" s="145">
        <f t="shared" si="1"/>
        <v>-157000</v>
      </c>
      <c r="S14" s="144">
        <f t="shared" si="2"/>
        <v>-1784000</v>
      </c>
      <c r="T14" s="144">
        <f t="shared" si="3"/>
        <v>-2637000</v>
      </c>
      <c r="U14" s="144">
        <f t="shared" si="4"/>
        <v>3335000</v>
      </c>
      <c r="V14" s="144">
        <f t="shared" si="5"/>
        <v>6912000</v>
      </c>
      <c r="W14" s="144">
        <f t="shared" si="6"/>
        <v>0</v>
      </c>
      <c r="X14" s="144">
        <f t="shared" si="7"/>
        <v>-2467000</v>
      </c>
      <c r="Y14" s="144">
        <f t="shared" si="8"/>
        <v>14819000</v>
      </c>
      <c r="Z14" s="145">
        <f t="shared" si="9"/>
        <v>-4939000</v>
      </c>
      <c r="AA14" s="141">
        <f t="shared" si="10"/>
        <v>20645000</v>
      </c>
      <c r="AB14" s="144">
        <f t="shared" si="11"/>
        <v>-7406000</v>
      </c>
      <c r="AC14" s="145">
        <f t="shared" si="12"/>
        <v>13239000</v>
      </c>
    </row>
    <row r="15" spans="1:29" ht="15">
      <c r="A15" s="278" t="s">
        <v>6</v>
      </c>
      <c r="B15" s="144">
        <v>-654000</v>
      </c>
      <c r="C15" s="144">
        <v>0</v>
      </c>
      <c r="D15" s="144">
        <v>724000</v>
      </c>
      <c r="E15" s="144">
        <v>0</v>
      </c>
      <c r="F15" s="144">
        <v>871000</v>
      </c>
      <c r="G15" s="144"/>
      <c r="H15" s="144">
        <v>-438000</v>
      </c>
      <c r="I15" s="144"/>
      <c r="J15" s="144">
        <v>3143000</v>
      </c>
      <c r="K15" s="144">
        <f t="shared" si="0"/>
        <v>-1048000</v>
      </c>
      <c r="L15" s="141">
        <v>-25000</v>
      </c>
      <c r="M15" s="144">
        <v>0</v>
      </c>
      <c r="N15" s="144">
        <v>26000</v>
      </c>
      <c r="O15" s="144">
        <v>0</v>
      </c>
      <c r="P15" s="144">
        <v>-9000</v>
      </c>
      <c r="Q15" s="144">
        <v>115000</v>
      </c>
      <c r="R15" s="145">
        <f t="shared" si="1"/>
        <v>-38000</v>
      </c>
      <c r="S15" s="144">
        <f t="shared" si="2"/>
        <v>-679000</v>
      </c>
      <c r="T15" s="144">
        <f t="shared" si="3"/>
        <v>0</v>
      </c>
      <c r="U15" s="144">
        <f t="shared" si="4"/>
        <v>750000</v>
      </c>
      <c r="V15" s="144">
        <f t="shared" si="5"/>
        <v>871000</v>
      </c>
      <c r="W15" s="144">
        <f t="shared" si="6"/>
        <v>0</v>
      </c>
      <c r="X15" s="144">
        <f t="shared" si="7"/>
        <v>-447000</v>
      </c>
      <c r="Y15" s="144">
        <f t="shared" si="8"/>
        <v>3258000</v>
      </c>
      <c r="Z15" s="145">
        <f t="shared" si="9"/>
        <v>-1086000</v>
      </c>
      <c r="AA15" s="141">
        <f t="shared" si="10"/>
        <v>4200000</v>
      </c>
      <c r="AB15" s="144">
        <f t="shared" si="11"/>
        <v>-1533000</v>
      </c>
      <c r="AC15" s="145">
        <f t="shared" si="12"/>
        <v>2667000</v>
      </c>
    </row>
    <row r="16" spans="1:29" ht="15">
      <c r="A16" s="278" t="s">
        <v>7</v>
      </c>
      <c r="B16" s="144">
        <v>610000</v>
      </c>
      <c r="C16" s="144">
        <v>-3026000</v>
      </c>
      <c r="D16" s="144">
        <v>3241000</v>
      </c>
      <c r="E16" s="144">
        <v>0</v>
      </c>
      <c r="F16" s="144">
        <v>2229000</v>
      </c>
      <c r="G16" s="144"/>
      <c r="H16" s="144">
        <v>-1527000</v>
      </c>
      <c r="I16" s="144"/>
      <c r="J16" s="144">
        <v>13944000</v>
      </c>
      <c r="K16" s="144">
        <f t="shared" si="0"/>
        <v>-4648000</v>
      </c>
      <c r="L16" s="141">
        <v>-764000</v>
      </c>
      <c r="M16" s="144">
        <v>-395000</v>
      </c>
      <c r="N16" s="144">
        <v>138000</v>
      </c>
      <c r="O16" s="144">
        <v>0</v>
      </c>
      <c r="P16" s="144">
        <v>-46000</v>
      </c>
      <c r="Q16" s="144">
        <v>582000</v>
      </c>
      <c r="R16" s="145">
        <f t="shared" si="1"/>
        <v>-194000</v>
      </c>
      <c r="S16" s="144">
        <f t="shared" si="2"/>
        <v>-154000</v>
      </c>
      <c r="T16" s="144">
        <f t="shared" si="3"/>
        <v>-3421000</v>
      </c>
      <c r="U16" s="144">
        <f t="shared" si="4"/>
        <v>3379000</v>
      </c>
      <c r="V16" s="144">
        <f t="shared" si="5"/>
        <v>2229000</v>
      </c>
      <c r="W16" s="144">
        <f t="shared" si="6"/>
        <v>0</v>
      </c>
      <c r="X16" s="144">
        <f t="shared" si="7"/>
        <v>-1573000</v>
      </c>
      <c r="Y16" s="144">
        <f t="shared" si="8"/>
        <v>14526000</v>
      </c>
      <c r="Z16" s="145">
        <f t="shared" si="9"/>
        <v>-4842000</v>
      </c>
      <c r="AA16" s="141">
        <f t="shared" si="10"/>
        <v>16559000</v>
      </c>
      <c r="AB16" s="144">
        <f t="shared" si="11"/>
        <v>-6415000</v>
      </c>
      <c r="AC16" s="145">
        <f t="shared" si="12"/>
        <v>10144000</v>
      </c>
    </row>
    <row r="17" spans="1:29" ht="15">
      <c r="A17" s="278" t="s">
        <v>8</v>
      </c>
      <c r="B17" s="144">
        <v>256000</v>
      </c>
      <c r="C17" s="144">
        <v>0</v>
      </c>
      <c r="D17" s="144">
        <v>1807000</v>
      </c>
      <c r="E17" s="144">
        <v>1082000</v>
      </c>
      <c r="F17" s="144">
        <v>1225000</v>
      </c>
      <c r="G17" s="144"/>
      <c r="H17" s="144">
        <v>-1195000</v>
      </c>
      <c r="I17" s="144"/>
      <c r="J17" s="144">
        <v>7759000</v>
      </c>
      <c r="K17" s="144">
        <f>-ROUND((J17/3)/1000,0)*1000-1000</f>
        <v>-2587000</v>
      </c>
      <c r="L17" s="141">
        <v>-731000</v>
      </c>
      <c r="M17" s="144">
        <v>0</v>
      </c>
      <c r="N17" s="144">
        <v>102000</v>
      </c>
      <c r="O17" s="144">
        <v>50000</v>
      </c>
      <c r="P17" s="144">
        <v>-51000</v>
      </c>
      <c r="Q17" s="144">
        <v>428000</v>
      </c>
      <c r="R17" s="145">
        <f>-ROUND(Q17/3,-3)</f>
        <v>-143000</v>
      </c>
      <c r="S17" s="144">
        <f t="shared" si="2"/>
        <v>-475000</v>
      </c>
      <c r="T17" s="144">
        <f t="shared" si="3"/>
        <v>0</v>
      </c>
      <c r="U17" s="144">
        <f t="shared" si="4"/>
        <v>1909000</v>
      </c>
      <c r="V17" s="144">
        <f t="shared" si="5"/>
        <v>1225000</v>
      </c>
      <c r="W17" s="144">
        <f t="shared" si="6"/>
        <v>1132000</v>
      </c>
      <c r="X17" s="144">
        <f t="shared" si="7"/>
        <v>-1246000</v>
      </c>
      <c r="Y17" s="144">
        <f t="shared" si="8"/>
        <v>8187000</v>
      </c>
      <c r="Z17" s="145">
        <f t="shared" si="9"/>
        <v>-2730000</v>
      </c>
      <c r="AA17" s="141">
        <f t="shared" si="10"/>
        <v>11978000</v>
      </c>
      <c r="AB17" s="144">
        <f t="shared" si="11"/>
        <v>-3976000</v>
      </c>
      <c r="AC17" s="145">
        <f t="shared" si="12"/>
        <v>8002000</v>
      </c>
    </row>
    <row r="18" spans="1:29" ht="15">
      <c r="A18" s="278" t="s">
        <v>9</v>
      </c>
      <c r="B18" s="144">
        <v>-66000</v>
      </c>
      <c r="C18" s="144">
        <v>0</v>
      </c>
      <c r="D18" s="144">
        <v>74000</v>
      </c>
      <c r="E18" s="144">
        <v>0</v>
      </c>
      <c r="F18" s="144">
        <v>255000</v>
      </c>
      <c r="G18" s="144"/>
      <c r="H18" s="144">
        <v>-105000</v>
      </c>
      <c r="I18" s="144"/>
      <c r="J18" s="144">
        <v>339000</v>
      </c>
      <c r="K18" s="144">
        <f t="shared" si="0"/>
        <v>-113000</v>
      </c>
      <c r="L18" s="141">
        <v>-70000</v>
      </c>
      <c r="M18" s="144">
        <v>0</v>
      </c>
      <c r="N18" s="144">
        <v>2000</v>
      </c>
      <c r="O18" s="144">
        <v>0</v>
      </c>
      <c r="P18" s="144">
        <v>-1000</v>
      </c>
      <c r="Q18" s="144">
        <v>11000</v>
      </c>
      <c r="R18" s="145">
        <f t="shared" si="1"/>
        <v>-4000</v>
      </c>
      <c r="S18" s="144">
        <f t="shared" si="2"/>
        <v>-136000</v>
      </c>
      <c r="T18" s="144">
        <f t="shared" si="3"/>
        <v>0</v>
      </c>
      <c r="U18" s="144">
        <f t="shared" si="4"/>
        <v>76000</v>
      </c>
      <c r="V18" s="144">
        <f t="shared" si="5"/>
        <v>255000</v>
      </c>
      <c r="W18" s="144">
        <f t="shared" si="6"/>
        <v>0</v>
      </c>
      <c r="X18" s="144">
        <f t="shared" si="7"/>
        <v>-106000</v>
      </c>
      <c r="Y18" s="144">
        <f t="shared" si="8"/>
        <v>350000</v>
      </c>
      <c r="Z18" s="145">
        <f t="shared" si="9"/>
        <v>-117000</v>
      </c>
      <c r="AA18" s="141">
        <f t="shared" si="10"/>
        <v>545000</v>
      </c>
      <c r="AB18" s="144">
        <f t="shared" si="11"/>
        <v>-223000</v>
      </c>
      <c r="AC18" s="145">
        <f t="shared" si="12"/>
        <v>322000</v>
      </c>
    </row>
    <row r="19" spans="1:29" ht="15">
      <c r="A19" s="278" t="s">
        <v>10</v>
      </c>
      <c r="B19" s="144">
        <v>-588000</v>
      </c>
      <c r="C19" s="144">
        <v>0</v>
      </c>
      <c r="D19" s="144">
        <v>408000</v>
      </c>
      <c r="E19" s="144">
        <v>0</v>
      </c>
      <c r="F19" s="144">
        <v>2706000</v>
      </c>
      <c r="G19" s="144"/>
      <c r="H19" s="144">
        <v>-773000</v>
      </c>
      <c r="I19" s="144"/>
      <c r="J19" s="144">
        <v>1989000</v>
      </c>
      <c r="K19" s="144">
        <f t="shared" si="0"/>
        <v>-663000</v>
      </c>
      <c r="L19" s="141">
        <v>-209000</v>
      </c>
      <c r="M19" s="144">
        <v>0</v>
      </c>
      <c r="N19" s="144">
        <v>9000</v>
      </c>
      <c r="O19" s="144">
        <v>0</v>
      </c>
      <c r="P19" s="144">
        <v>-3000</v>
      </c>
      <c r="Q19" s="144">
        <v>38000</v>
      </c>
      <c r="R19" s="145">
        <f t="shared" si="1"/>
        <v>-13000</v>
      </c>
      <c r="S19" s="144">
        <f t="shared" si="2"/>
        <v>-797000</v>
      </c>
      <c r="T19" s="144">
        <f t="shared" si="3"/>
        <v>0</v>
      </c>
      <c r="U19" s="144">
        <f t="shared" si="4"/>
        <v>417000</v>
      </c>
      <c r="V19" s="144">
        <f t="shared" si="5"/>
        <v>2706000</v>
      </c>
      <c r="W19" s="144">
        <f t="shared" si="6"/>
        <v>0</v>
      </c>
      <c r="X19" s="144">
        <f t="shared" si="7"/>
        <v>-776000</v>
      </c>
      <c r="Y19" s="144">
        <f t="shared" si="8"/>
        <v>2027000</v>
      </c>
      <c r="Z19" s="145">
        <f t="shared" si="9"/>
        <v>-676000</v>
      </c>
      <c r="AA19" s="141">
        <f t="shared" si="10"/>
        <v>4353000</v>
      </c>
      <c r="AB19" s="144">
        <f t="shared" si="11"/>
        <v>-1452000</v>
      </c>
      <c r="AC19" s="145">
        <f t="shared" si="12"/>
        <v>2901000</v>
      </c>
    </row>
    <row r="20" spans="1:29" ht="15">
      <c r="A20" s="278" t="s">
        <v>11</v>
      </c>
      <c r="B20" s="144">
        <v>627000</v>
      </c>
      <c r="C20" s="144">
        <v>-1754000</v>
      </c>
      <c r="D20" s="144">
        <v>3063000</v>
      </c>
      <c r="E20" s="144">
        <v>0</v>
      </c>
      <c r="F20" s="144">
        <v>5669000</v>
      </c>
      <c r="G20" s="144"/>
      <c r="H20" s="144">
        <v>-2129000</v>
      </c>
      <c r="I20" s="144"/>
      <c r="J20" s="144">
        <v>13533000</v>
      </c>
      <c r="K20" s="144">
        <f t="shared" si="0"/>
        <v>-4511000</v>
      </c>
      <c r="L20" s="141">
        <v>-43000</v>
      </c>
      <c r="M20" s="144">
        <v>-353000</v>
      </c>
      <c r="N20" s="144">
        <v>191000</v>
      </c>
      <c r="O20" s="144">
        <v>0</v>
      </c>
      <c r="P20" s="144">
        <v>-64000</v>
      </c>
      <c r="Q20" s="144">
        <v>810000</v>
      </c>
      <c r="R20" s="145">
        <f t="shared" si="1"/>
        <v>-270000</v>
      </c>
      <c r="S20" s="144">
        <f t="shared" si="2"/>
        <v>584000</v>
      </c>
      <c r="T20" s="144">
        <f t="shared" si="3"/>
        <v>-2107000</v>
      </c>
      <c r="U20" s="144">
        <f t="shared" si="4"/>
        <v>3254000</v>
      </c>
      <c r="V20" s="144">
        <f t="shared" si="5"/>
        <v>5669000</v>
      </c>
      <c r="W20" s="144">
        <f t="shared" si="6"/>
        <v>0</v>
      </c>
      <c r="X20" s="144">
        <f t="shared" si="7"/>
        <v>-2193000</v>
      </c>
      <c r="Y20" s="144">
        <f t="shared" si="8"/>
        <v>14343000</v>
      </c>
      <c r="Z20" s="145">
        <f t="shared" si="9"/>
        <v>-4781000</v>
      </c>
      <c r="AA20" s="141">
        <f t="shared" si="10"/>
        <v>21743000</v>
      </c>
      <c r="AB20" s="144">
        <f t="shared" si="11"/>
        <v>-6974000</v>
      </c>
      <c r="AC20" s="145">
        <f t="shared" si="12"/>
        <v>14769000</v>
      </c>
    </row>
    <row r="21" spans="1:29" ht="15">
      <c r="A21" s="278" t="s">
        <v>12</v>
      </c>
      <c r="B21" s="144">
        <v>-22000</v>
      </c>
      <c r="C21" s="144">
        <v>154000</v>
      </c>
      <c r="D21" s="144">
        <v>2055000</v>
      </c>
      <c r="E21" s="144">
        <v>0</v>
      </c>
      <c r="F21" s="144">
        <v>1285000</v>
      </c>
      <c r="G21" s="144"/>
      <c r="H21" s="144">
        <v>-945000</v>
      </c>
      <c r="I21" s="144"/>
      <c r="J21" s="144">
        <v>8815000</v>
      </c>
      <c r="K21" s="144">
        <f t="shared" si="0"/>
        <v>-2938000</v>
      </c>
      <c r="L21" s="141">
        <v>-807000</v>
      </c>
      <c r="M21" s="144">
        <v>-1000</v>
      </c>
      <c r="N21" s="144">
        <v>75000</v>
      </c>
      <c r="O21" s="144">
        <v>0</v>
      </c>
      <c r="P21" s="144">
        <v>-25000</v>
      </c>
      <c r="Q21" s="144">
        <v>320000</v>
      </c>
      <c r="R21" s="145">
        <f t="shared" si="1"/>
        <v>-107000</v>
      </c>
      <c r="S21" s="144">
        <f t="shared" si="2"/>
        <v>-829000</v>
      </c>
      <c r="T21" s="144">
        <f t="shared" si="3"/>
        <v>153000</v>
      </c>
      <c r="U21" s="144">
        <f t="shared" si="4"/>
        <v>2130000</v>
      </c>
      <c r="V21" s="144">
        <f t="shared" si="5"/>
        <v>1285000</v>
      </c>
      <c r="W21" s="144">
        <f t="shared" si="6"/>
        <v>0</v>
      </c>
      <c r="X21" s="144">
        <f t="shared" si="7"/>
        <v>-970000</v>
      </c>
      <c r="Y21" s="144">
        <f t="shared" si="8"/>
        <v>9135000</v>
      </c>
      <c r="Z21" s="145">
        <f t="shared" si="9"/>
        <v>-3045000</v>
      </c>
      <c r="AA21" s="141">
        <f t="shared" si="10"/>
        <v>11874000</v>
      </c>
      <c r="AB21" s="144">
        <f t="shared" si="11"/>
        <v>-4015000</v>
      </c>
      <c r="AC21" s="145">
        <f t="shared" si="12"/>
        <v>7859000</v>
      </c>
    </row>
    <row r="22" spans="1:29" ht="15">
      <c r="A22" s="278" t="s">
        <v>13</v>
      </c>
      <c r="B22" s="144">
        <v>-345000</v>
      </c>
      <c r="C22" s="144">
        <v>-705000</v>
      </c>
      <c r="D22" s="144">
        <v>2552000</v>
      </c>
      <c r="E22" s="144">
        <v>0</v>
      </c>
      <c r="F22" s="144">
        <v>0</v>
      </c>
      <c r="G22" s="144"/>
      <c r="H22" s="144">
        <v>-851000</v>
      </c>
      <c r="I22" s="144"/>
      <c r="J22" s="144">
        <v>10792000</v>
      </c>
      <c r="K22" s="144">
        <f t="shared" si="0"/>
        <v>-3597000</v>
      </c>
      <c r="L22" s="141">
        <v>81000</v>
      </c>
      <c r="M22" s="144">
        <v>-103000</v>
      </c>
      <c r="N22" s="144">
        <v>68000</v>
      </c>
      <c r="O22" s="144">
        <v>0</v>
      </c>
      <c r="P22" s="144">
        <v>-23000</v>
      </c>
      <c r="Q22" s="144">
        <v>287000</v>
      </c>
      <c r="R22" s="145">
        <f t="shared" si="1"/>
        <v>-96000</v>
      </c>
      <c r="S22" s="144">
        <f t="shared" si="2"/>
        <v>-264000</v>
      </c>
      <c r="T22" s="144">
        <f t="shared" si="3"/>
        <v>-808000</v>
      </c>
      <c r="U22" s="144">
        <f t="shared" si="4"/>
        <v>2620000</v>
      </c>
      <c r="V22" s="144">
        <f t="shared" si="5"/>
        <v>0</v>
      </c>
      <c r="W22" s="144">
        <f t="shared" si="6"/>
        <v>0</v>
      </c>
      <c r="X22" s="144">
        <f t="shared" si="7"/>
        <v>-874000</v>
      </c>
      <c r="Y22" s="144">
        <f t="shared" si="8"/>
        <v>11079000</v>
      </c>
      <c r="Z22" s="145">
        <f t="shared" si="9"/>
        <v>-3693000</v>
      </c>
      <c r="AA22" s="141">
        <f t="shared" si="10"/>
        <v>12627000</v>
      </c>
      <c r="AB22" s="144">
        <f t="shared" si="11"/>
        <v>-4567000</v>
      </c>
      <c r="AC22" s="145">
        <f t="shared" si="12"/>
        <v>8060000</v>
      </c>
    </row>
    <row r="23" spans="1:29" ht="15">
      <c r="A23" s="278" t="s">
        <v>14</v>
      </c>
      <c r="B23" s="144">
        <v>-535000</v>
      </c>
      <c r="C23" s="144">
        <v>-946000</v>
      </c>
      <c r="D23" s="144">
        <v>1657000</v>
      </c>
      <c r="E23" s="144">
        <v>0</v>
      </c>
      <c r="F23" s="144">
        <v>894000</v>
      </c>
      <c r="G23" s="144"/>
      <c r="H23" s="144">
        <v>-734000</v>
      </c>
      <c r="I23" s="144"/>
      <c r="J23" s="144">
        <v>7093000</v>
      </c>
      <c r="K23" s="144">
        <f t="shared" si="0"/>
        <v>-2364000</v>
      </c>
      <c r="L23" s="141">
        <v>192000</v>
      </c>
      <c r="M23" s="144">
        <v>-247000</v>
      </c>
      <c r="N23" s="144">
        <v>63000</v>
      </c>
      <c r="O23" s="144">
        <v>0</v>
      </c>
      <c r="P23" s="144">
        <v>-21000</v>
      </c>
      <c r="Q23" s="144">
        <v>257000</v>
      </c>
      <c r="R23" s="145">
        <f t="shared" si="1"/>
        <v>-86000</v>
      </c>
      <c r="S23" s="144">
        <f t="shared" si="2"/>
        <v>-343000</v>
      </c>
      <c r="T23" s="144">
        <f t="shared" si="3"/>
        <v>-1193000</v>
      </c>
      <c r="U23" s="144">
        <f t="shared" si="4"/>
        <v>1720000</v>
      </c>
      <c r="V23" s="144">
        <f t="shared" si="5"/>
        <v>894000</v>
      </c>
      <c r="W23" s="144">
        <f t="shared" si="6"/>
        <v>0</v>
      </c>
      <c r="X23" s="144">
        <f t="shared" si="7"/>
        <v>-755000</v>
      </c>
      <c r="Y23" s="144">
        <f t="shared" si="8"/>
        <v>7350000</v>
      </c>
      <c r="Z23" s="145">
        <f t="shared" si="9"/>
        <v>-2450000</v>
      </c>
      <c r="AA23" s="141">
        <f t="shared" si="10"/>
        <v>8428000</v>
      </c>
      <c r="AB23" s="144">
        <f t="shared" si="11"/>
        <v>-3205000</v>
      </c>
      <c r="AC23" s="145">
        <f t="shared" si="12"/>
        <v>5223000</v>
      </c>
    </row>
    <row r="24" spans="1:29" ht="15">
      <c r="A24" s="278" t="s">
        <v>15</v>
      </c>
      <c r="B24" s="144">
        <v>342000</v>
      </c>
      <c r="C24" s="144">
        <v>0</v>
      </c>
      <c r="D24" s="144">
        <v>2856000</v>
      </c>
      <c r="E24" s="144">
        <v>1008000</v>
      </c>
      <c r="F24" s="144">
        <v>-3733000</v>
      </c>
      <c r="G24" s="144"/>
      <c r="H24" s="144">
        <v>-517000</v>
      </c>
      <c r="I24" s="144"/>
      <c r="J24" s="144">
        <v>11716000</v>
      </c>
      <c r="K24" s="144">
        <f t="shared" si="0"/>
        <v>-3905000</v>
      </c>
      <c r="L24" s="141">
        <v>-429000</v>
      </c>
      <c r="M24" s="144">
        <v>0</v>
      </c>
      <c r="N24" s="144">
        <v>212000</v>
      </c>
      <c r="O24" s="144">
        <v>66000</v>
      </c>
      <c r="P24" s="144">
        <v>-93000</v>
      </c>
      <c r="Q24" s="144">
        <v>893000</v>
      </c>
      <c r="R24" s="145">
        <f t="shared" si="1"/>
        <v>-298000</v>
      </c>
      <c r="S24" s="144">
        <f t="shared" si="2"/>
        <v>-87000</v>
      </c>
      <c r="T24" s="144">
        <f t="shared" si="3"/>
        <v>0</v>
      </c>
      <c r="U24" s="144">
        <f t="shared" si="4"/>
        <v>3068000</v>
      </c>
      <c r="V24" s="144">
        <f t="shared" si="5"/>
        <v>-3733000</v>
      </c>
      <c r="W24" s="144">
        <f t="shared" si="6"/>
        <v>1074000</v>
      </c>
      <c r="X24" s="144">
        <f t="shared" si="7"/>
        <v>-610000</v>
      </c>
      <c r="Y24" s="144">
        <f t="shared" si="8"/>
        <v>12609000</v>
      </c>
      <c r="Z24" s="145">
        <f t="shared" si="9"/>
        <v>-4203000</v>
      </c>
      <c r="AA24" s="141">
        <f t="shared" si="10"/>
        <v>12931000</v>
      </c>
      <c r="AB24" s="144">
        <f t="shared" si="11"/>
        <v>-4813000</v>
      </c>
      <c r="AC24" s="145">
        <f t="shared" si="12"/>
        <v>8118000</v>
      </c>
    </row>
    <row r="25" spans="1:29" ht="15">
      <c r="A25" s="278" t="s">
        <v>16</v>
      </c>
      <c r="B25" s="144">
        <v>509000</v>
      </c>
      <c r="C25" s="144">
        <v>-2340000</v>
      </c>
      <c r="D25" s="144">
        <v>2633000</v>
      </c>
      <c r="E25" s="144">
        <v>0</v>
      </c>
      <c r="F25" s="144">
        <v>4005000</v>
      </c>
      <c r="G25" s="144"/>
      <c r="H25" s="144">
        <v>-1680000</v>
      </c>
      <c r="I25" s="144"/>
      <c r="J25" s="144">
        <v>11550000</v>
      </c>
      <c r="K25" s="144">
        <f t="shared" si="0"/>
        <v>-3850000</v>
      </c>
      <c r="L25" s="141">
        <v>-317000</v>
      </c>
      <c r="M25" s="144">
        <v>-812000</v>
      </c>
      <c r="N25" s="144">
        <v>209000</v>
      </c>
      <c r="O25" s="144">
        <v>0</v>
      </c>
      <c r="P25" s="144">
        <v>-70000</v>
      </c>
      <c r="Q25" s="144">
        <v>885000</v>
      </c>
      <c r="R25" s="145">
        <f>-ROUND(Q25/3,-3)+1000</f>
        <v>-294000</v>
      </c>
      <c r="S25" s="144">
        <f t="shared" si="2"/>
        <v>192000</v>
      </c>
      <c r="T25" s="144">
        <f t="shared" si="3"/>
        <v>-3152000</v>
      </c>
      <c r="U25" s="144">
        <f t="shared" si="4"/>
        <v>2842000</v>
      </c>
      <c r="V25" s="144">
        <f t="shared" si="5"/>
        <v>4005000</v>
      </c>
      <c r="W25" s="144">
        <f t="shared" si="6"/>
        <v>0</v>
      </c>
      <c r="X25" s="144">
        <f t="shared" si="7"/>
        <v>-1750000</v>
      </c>
      <c r="Y25" s="144">
        <f t="shared" si="8"/>
        <v>12435000</v>
      </c>
      <c r="Z25" s="145">
        <f t="shared" si="9"/>
        <v>-4144000</v>
      </c>
      <c r="AA25" s="141">
        <f t="shared" si="10"/>
        <v>16322000</v>
      </c>
      <c r="AB25" s="144">
        <f t="shared" si="11"/>
        <v>-5894000</v>
      </c>
      <c r="AC25" s="145">
        <f t="shared" si="12"/>
        <v>10428000</v>
      </c>
    </row>
    <row r="26" spans="1:29" ht="15">
      <c r="A26" s="278" t="s">
        <v>17</v>
      </c>
      <c r="B26" s="144">
        <v>3473000</v>
      </c>
      <c r="C26" s="144">
        <v>-1454000</v>
      </c>
      <c r="D26" s="144">
        <v>2691000</v>
      </c>
      <c r="E26" s="144">
        <v>0</v>
      </c>
      <c r="F26" s="144">
        <v>-552000</v>
      </c>
      <c r="G26" s="144"/>
      <c r="H26" s="144">
        <v>-791000</v>
      </c>
      <c r="I26" s="144"/>
      <c r="J26" s="144">
        <v>11344000</v>
      </c>
      <c r="K26" s="144">
        <f t="shared" si="0"/>
        <v>-3781000</v>
      </c>
      <c r="L26" s="141">
        <v>-1822000</v>
      </c>
      <c r="M26" s="144">
        <v>-432000</v>
      </c>
      <c r="N26" s="144">
        <v>211000</v>
      </c>
      <c r="O26" s="144">
        <v>0</v>
      </c>
      <c r="P26" s="144">
        <v>-70000</v>
      </c>
      <c r="Q26" s="144">
        <v>896000</v>
      </c>
      <c r="R26" s="145">
        <f>-ROUND(Q26/3,-3)</f>
        <v>-299000</v>
      </c>
      <c r="S26" s="144">
        <f t="shared" si="2"/>
        <v>1651000</v>
      </c>
      <c r="T26" s="144">
        <f t="shared" si="3"/>
        <v>-1886000</v>
      </c>
      <c r="U26" s="144">
        <f t="shared" si="4"/>
        <v>2902000</v>
      </c>
      <c r="V26" s="144">
        <f t="shared" si="5"/>
        <v>-552000</v>
      </c>
      <c r="W26" s="144">
        <f t="shared" si="6"/>
        <v>0</v>
      </c>
      <c r="X26" s="144">
        <f t="shared" si="7"/>
        <v>-861000</v>
      </c>
      <c r="Y26" s="144">
        <f t="shared" si="8"/>
        <v>12240000</v>
      </c>
      <c r="Z26" s="145">
        <f t="shared" si="9"/>
        <v>-4080000</v>
      </c>
      <c r="AA26" s="141">
        <f t="shared" si="10"/>
        <v>14355000</v>
      </c>
      <c r="AB26" s="144">
        <f t="shared" si="11"/>
        <v>-4941000</v>
      </c>
      <c r="AC26" s="145">
        <f t="shared" si="12"/>
        <v>9414000</v>
      </c>
    </row>
    <row r="27" spans="1:29" ht="15">
      <c r="A27" s="278" t="s">
        <v>18</v>
      </c>
      <c r="B27" s="144">
        <v>-1346000</v>
      </c>
      <c r="C27" s="144">
        <v>-1002000</v>
      </c>
      <c r="D27" s="144">
        <v>1761000</v>
      </c>
      <c r="E27" s="144">
        <v>0</v>
      </c>
      <c r="F27" s="144">
        <v>-2139000</v>
      </c>
      <c r="G27" s="144"/>
      <c r="H27" s="144">
        <v>-96000</v>
      </c>
      <c r="I27" s="144"/>
      <c r="J27" s="144">
        <v>7234000</v>
      </c>
      <c r="K27" s="144">
        <f>-ROUND((J27/3)/1000,0)*1000-1000</f>
        <v>-2412000</v>
      </c>
      <c r="L27" s="141">
        <v>340000</v>
      </c>
      <c r="M27" s="144">
        <v>-101000</v>
      </c>
      <c r="N27" s="144">
        <v>86000</v>
      </c>
      <c r="O27" s="144">
        <v>0</v>
      </c>
      <c r="P27" s="144">
        <v>-29000</v>
      </c>
      <c r="Q27" s="144">
        <v>365000</v>
      </c>
      <c r="R27" s="145">
        <f t="shared" si="1"/>
        <v>-122000</v>
      </c>
      <c r="S27" s="144">
        <f t="shared" si="2"/>
        <v>-1006000</v>
      </c>
      <c r="T27" s="144">
        <f t="shared" si="3"/>
        <v>-1103000</v>
      </c>
      <c r="U27" s="144">
        <f t="shared" si="4"/>
        <v>1847000</v>
      </c>
      <c r="V27" s="144">
        <f t="shared" si="5"/>
        <v>-2139000</v>
      </c>
      <c r="W27" s="144">
        <f t="shared" si="6"/>
        <v>0</v>
      </c>
      <c r="X27" s="144">
        <f t="shared" si="7"/>
        <v>-125000</v>
      </c>
      <c r="Y27" s="144">
        <f t="shared" si="8"/>
        <v>7599000</v>
      </c>
      <c r="Z27" s="145">
        <f t="shared" si="9"/>
        <v>-2534000</v>
      </c>
      <c r="AA27" s="141">
        <f t="shared" si="10"/>
        <v>5198000</v>
      </c>
      <c r="AB27" s="144">
        <f t="shared" si="11"/>
        <v>-2659000</v>
      </c>
      <c r="AC27" s="145">
        <f>AA27+AB27</f>
        <v>2539000</v>
      </c>
    </row>
    <row r="28" spans="1:29" ht="15">
      <c r="A28" s="278" t="s">
        <v>19</v>
      </c>
      <c r="B28" s="144">
        <v>1675000</v>
      </c>
      <c r="C28" s="144">
        <v>-346000</v>
      </c>
      <c r="D28" s="144">
        <v>893000</v>
      </c>
      <c r="E28" s="144">
        <v>0</v>
      </c>
      <c r="F28" s="144">
        <v>1887000</v>
      </c>
      <c r="G28" s="144"/>
      <c r="H28" s="144">
        <v>-664000</v>
      </c>
      <c r="I28" s="144"/>
      <c r="J28" s="144">
        <v>3964000</v>
      </c>
      <c r="K28" s="144">
        <f t="shared" si="0"/>
        <v>-1321000</v>
      </c>
      <c r="L28" s="141">
        <v>68000</v>
      </c>
      <c r="M28" s="144">
        <v>-9000</v>
      </c>
      <c r="N28" s="144">
        <v>14000</v>
      </c>
      <c r="O28" s="144">
        <v>0</v>
      </c>
      <c r="P28" s="144">
        <v>-5000</v>
      </c>
      <c r="Q28" s="144">
        <v>56000</v>
      </c>
      <c r="R28" s="145">
        <f t="shared" si="1"/>
        <v>-19000</v>
      </c>
      <c r="S28" s="144">
        <f t="shared" si="2"/>
        <v>1743000</v>
      </c>
      <c r="T28" s="144">
        <f t="shared" si="3"/>
        <v>-355000</v>
      </c>
      <c r="U28" s="144">
        <f t="shared" si="4"/>
        <v>907000</v>
      </c>
      <c r="V28" s="144">
        <f t="shared" si="5"/>
        <v>1887000</v>
      </c>
      <c r="W28" s="144">
        <f t="shared" si="6"/>
        <v>0</v>
      </c>
      <c r="X28" s="144">
        <f t="shared" si="7"/>
        <v>-669000</v>
      </c>
      <c r="Y28" s="144">
        <f t="shared" si="8"/>
        <v>4020000</v>
      </c>
      <c r="Z28" s="145">
        <f t="shared" si="9"/>
        <v>-1340000</v>
      </c>
      <c r="AA28" s="141">
        <f t="shared" si="10"/>
        <v>8202000</v>
      </c>
      <c r="AB28" s="144">
        <f t="shared" si="11"/>
        <v>-2009000</v>
      </c>
      <c r="AC28" s="145">
        <f t="shared" si="12"/>
        <v>6193000</v>
      </c>
    </row>
    <row r="29" spans="1:29" ht="15">
      <c r="A29" s="278" t="s">
        <v>20</v>
      </c>
      <c r="B29" s="144">
        <v>631000</v>
      </c>
      <c r="C29" s="144">
        <v>-241000</v>
      </c>
      <c r="D29" s="144">
        <v>824000</v>
      </c>
      <c r="E29" s="144">
        <v>0</v>
      </c>
      <c r="F29" s="144">
        <v>895000</v>
      </c>
      <c r="G29" s="144"/>
      <c r="H29" s="144">
        <v>-470000</v>
      </c>
      <c r="I29" s="144"/>
      <c r="J29" s="144">
        <v>3571000</v>
      </c>
      <c r="K29" s="144">
        <f t="shared" si="0"/>
        <v>-1190000</v>
      </c>
      <c r="L29" s="141">
        <v>-44000</v>
      </c>
      <c r="M29" s="144">
        <v>-2000</v>
      </c>
      <c r="N29" s="144">
        <v>10000</v>
      </c>
      <c r="O29" s="144">
        <v>0</v>
      </c>
      <c r="P29" s="144">
        <v>-3000</v>
      </c>
      <c r="Q29" s="144">
        <v>40000</v>
      </c>
      <c r="R29" s="145">
        <f t="shared" si="1"/>
        <v>-13000</v>
      </c>
      <c r="S29" s="144">
        <f t="shared" si="2"/>
        <v>587000</v>
      </c>
      <c r="T29" s="144">
        <f t="shared" si="3"/>
        <v>-243000</v>
      </c>
      <c r="U29" s="144">
        <f t="shared" si="4"/>
        <v>834000</v>
      </c>
      <c r="V29" s="144">
        <f t="shared" si="5"/>
        <v>895000</v>
      </c>
      <c r="W29" s="144">
        <f t="shared" si="6"/>
        <v>0</v>
      </c>
      <c r="X29" s="144">
        <f t="shared" si="7"/>
        <v>-473000</v>
      </c>
      <c r="Y29" s="144">
        <f t="shared" si="8"/>
        <v>3611000</v>
      </c>
      <c r="Z29" s="145">
        <f t="shared" si="9"/>
        <v>-1203000</v>
      </c>
      <c r="AA29" s="141">
        <f t="shared" si="10"/>
        <v>5684000</v>
      </c>
      <c r="AB29" s="144">
        <f t="shared" si="11"/>
        <v>-1676000</v>
      </c>
      <c r="AC29" s="145">
        <f t="shared" si="12"/>
        <v>4008000</v>
      </c>
    </row>
    <row r="30" spans="1:29" ht="15">
      <c r="A30" s="278" t="s">
        <v>21</v>
      </c>
      <c r="B30" s="144">
        <v>-453000</v>
      </c>
      <c r="C30" s="144">
        <v>-659000</v>
      </c>
      <c r="D30" s="144">
        <v>746000</v>
      </c>
      <c r="E30" s="144">
        <v>0</v>
      </c>
      <c r="F30" s="144">
        <v>-715000</v>
      </c>
      <c r="G30" s="144"/>
      <c r="H30" s="144">
        <v>-86000</v>
      </c>
      <c r="I30" s="144"/>
      <c r="J30" s="144">
        <v>3101000</v>
      </c>
      <c r="K30" s="144">
        <f t="shared" si="0"/>
        <v>-1034000</v>
      </c>
      <c r="L30" s="141">
        <v>136000</v>
      </c>
      <c r="M30" s="144">
        <v>-18000</v>
      </c>
      <c r="N30" s="144">
        <v>11000</v>
      </c>
      <c r="O30" s="144">
        <v>0</v>
      </c>
      <c r="P30" s="144">
        <v>-4000</v>
      </c>
      <c r="Q30" s="144">
        <v>52000</v>
      </c>
      <c r="R30" s="145">
        <f t="shared" si="1"/>
        <v>-17000</v>
      </c>
      <c r="S30" s="144">
        <f t="shared" si="2"/>
        <v>-317000</v>
      </c>
      <c r="T30" s="144">
        <f t="shared" si="3"/>
        <v>-677000</v>
      </c>
      <c r="U30" s="144">
        <f t="shared" si="4"/>
        <v>757000</v>
      </c>
      <c r="V30" s="144">
        <f t="shared" si="5"/>
        <v>-715000</v>
      </c>
      <c r="W30" s="144">
        <f t="shared" si="6"/>
        <v>0</v>
      </c>
      <c r="X30" s="144">
        <f t="shared" si="7"/>
        <v>-90000</v>
      </c>
      <c r="Y30" s="144">
        <f t="shared" si="8"/>
        <v>3153000</v>
      </c>
      <c r="Z30" s="145">
        <f t="shared" si="9"/>
        <v>-1051000</v>
      </c>
      <c r="AA30" s="141">
        <f t="shared" si="10"/>
        <v>2201000</v>
      </c>
      <c r="AB30" s="144">
        <f t="shared" si="11"/>
        <v>-1141000</v>
      </c>
      <c r="AC30" s="145">
        <f t="shared" si="12"/>
        <v>1060000</v>
      </c>
    </row>
    <row r="31" spans="1:29" ht="6" customHeight="1">
      <c r="A31" s="278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1"/>
      <c r="M31" s="144"/>
      <c r="N31" s="144"/>
      <c r="O31" s="144"/>
      <c r="P31" s="144"/>
      <c r="Q31" s="144"/>
      <c r="R31" s="145"/>
      <c r="S31" s="144"/>
      <c r="T31" s="144"/>
      <c r="U31" s="144"/>
      <c r="V31" s="144"/>
      <c r="W31" s="144"/>
      <c r="X31" s="144"/>
      <c r="Y31" s="144"/>
      <c r="Z31" s="145"/>
      <c r="AA31" s="141"/>
      <c r="AB31" s="144"/>
      <c r="AC31" s="203"/>
    </row>
    <row r="32" spans="1:29" ht="15">
      <c r="A32" s="279" t="s">
        <v>22</v>
      </c>
      <c r="B32" s="146">
        <f>SUM(B8:B30)</f>
        <v>3089000</v>
      </c>
      <c r="C32" s="146">
        <f>SUM(C8:C30)</f>
        <v>-16364000</v>
      </c>
      <c r="D32" s="146">
        <f>SUM(D8:D30)</f>
        <v>38159000</v>
      </c>
      <c r="E32" s="146">
        <f>SUM(E8:E30)</f>
        <v>2916000</v>
      </c>
      <c r="F32" s="146">
        <f>SUM(F8:F30)</f>
        <v>29093000</v>
      </c>
      <c r="G32" s="146"/>
      <c r="H32" s="146">
        <f>SUM(H8:H30)</f>
        <v>-19545000</v>
      </c>
      <c r="I32" s="146"/>
      <c r="J32" s="146">
        <f aca="true" t="shared" si="13" ref="J32:AC32">SUM(J8:J30)</f>
        <v>164374000</v>
      </c>
      <c r="K32" s="146">
        <f t="shared" si="13"/>
        <v>-54791000</v>
      </c>
      <c r="L32" s="148">
        <f t="shared" si="13"/>
        <v>-4056000</v>
      </c>
      <c r="M32" s="146">
        <f t="shared" si="13"/>
        <v>-2908000</v>
      </c>
      <c r="N32" s="146">
        <f t="shared" si="13"/>
        <v>1802000</v>
      </c>
      <c r="O32" s="146">
        <f t="shared" si="13"/>
        <v>188000</v>
      </c>
      <c r="P32" s="146">
        <f t="shared" si="13"/>
        <v>-665000</v>
      </c>
      <c r="Q32" s="146">
        <f t="shared" si="13"/>
        <v>7622000</v>
      </c>
      <c r="R32" s="147">
        <f t="shared" si="13"/>
        <v>-2540000</v>
      </c>
      <c r="S32" s="146">
        <f t="shared" si="13"/>
        <v>-967000</v>
      </c>
      <c r="T32" s="146">
        <f t="shared" si="13"/>
        <v>-19272000</v>
      </c>
      <c r="U32" s="146">
        <f t="shared" si="13"/>
        <v>39961000</v>
      </c>
      <c r="V32" s="146">
        <f t="shared" si="13"/>
        <v>29093000</v>
      </c>
      <c r="W32" s="146">
        <f t="shared" si="13"/>
        <v>3104000</v>
      </c>
      <c r="X32" s="146">
        <f t="shared" si="13"/>
        <v>-20210000</v>
      </c>
      <c r="Y32" s="146">
        <f t="shared" si="13"/>
        <v>171996000</v>
      </c>
      <c r="Z32" s="147">
        <f t="shared" si="13"/>
        <v>-57331000</v>
      </c>
      <c r="AA32" s="148">
        <f t="shared" si="13"/>
        <v>223915000</v>
      </c>
      <c r="AB32" s="146">
        <f t="shared" si="13"/>
        <v>-77541000</v>
      </c>
      <c r="AC32" s="147">
        <f t="shared" si="13"/>
        <v>146374000</v>
      </c>
    </row>
    <row r="33" spans="1:29" ht="6" customHeight="1">
      <c r="A33" s="280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0"/>
      <c r="M33" s="143"/>
      <c r="N33" s="143"/>
      <c r="O33" s="143"/>
      <c r="P33" s="143"/>
      <c r="Q33" s="143"/>
      <c r="R33" s="149"/>
      <c r="S33" s="143"/>
      <c r="T33" s="143"/>
      <c r="U33" s="143"/>
      <c r="V33" s="143"/>
      <c r="W33" s="143"/>
      <c r="X33" s="143"/>
      <c r="Y33" s="143"/>
      <c r="Z33" s="149"/>
      <c r="AA33" s="150"/>
      <c r="AB33" s="143"/>
      <c r="AC33" s="203"/>
    </row>
    <row r="34" spans="1:29" ht="15">
      <c r="A34" s="277" t="s">
        <v>23</v>
      </c>
      <c r="B34" s="144">
        <v>0</v>
      </c>
      <c r="C34" s="144">
        <v>0</v>
      </c>
      <c r="D34" s="144">
        <v>0</v>
      </c>
      <c r="E34" s="144">
        <v>0</v>
      </c>
      <c r="F34" s="144">
        <v>0</v>
      </c>
      <c r="G34" s="144"/>
      <c r="H34" s="144">
        <v>0</v>
      </c>
      <c r="I34" s="144"/>
      <c r="J34" s="144">
        <v>0</v>
      </c>
      <c r="K34" s="202">
        <f>-ROUND((J34/3)/1000,0)*1000</f>
        <v>0</v>
      </c>
      <c r="L34" s="141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>
        <f>-ROUND(Q34/3,-3)</f>
        <v>0</v>
      </c>
      <c r="S34" s="144">
        <f>B34+L34</f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f>H34+P34</f>
        <v>0</v>
      </c>
      <c r="Y34" s="144">
        <f aca="true" t="shared" si="14" ref="Y34:Z37">J34+Q34</f>
        <v>0</v>
      </c>
      <c r="Z34" s="145">
        <f t="shared" si="14"/>
        <v>0</v>
      </c>
      <c r="AA34" s="141">
        <f>S34+V34+W34+Y34</f>
        <v>0</v>
      </c>
      <c r="AB34" s="144">
        <f>X34+Z34</f>
        <v>0</v>
      </c>
      <c r="AC34" s="145">
        <f>AA34+AB34</f>
        <v>0</v>
      </c>
    </row>
    <row r="35" spans="1:29" ht="15">
      <c r="A35" s="278" t="s">
        <v>30</v>
      </c>
      <c r="B35" s="144">
        <v>131000</v>
      </c>
      <c r="C35" s="144">
        <v>0</v>
      </c>
      <c r="D35" s="144">
        <v>86000</v>
      </c>
      <c r="E35" s="144">
        <v>130000</v>
      </c>
      <c r="F35" s="144">
        <v>-372000</v>
      </c>
      <c r="G35" s="144"/>
      <c r="H35" s="144">
        <v>0</v>
      </c>
      <c r="I35" s="144"/>
      <c r="J35" s="144">
        <f>360000-38000</f>
        <v>322000</v>
      </c>
      <c r="K35" s="144">
        <v>0</v>
      </c>
      <c r="L35" s="141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>
        <f>-ROUND(Q35/3,-3)</f>
        <v>0</v>
      </c>
      <c r="S35" s="144">
        <f>B35+L35</f>
        <v>131000</v>
      </c>
      <c r="T35" s="144">
        <v>0</v>
      </c>
      <c r="U35" s="144">
        <f>D35+N35</f>
        <v>86000</v>
      </c>
      <c r="V35" s="144">
        <f>F35</f>
        <v>-372000</v>
      </c>
      <c r="W35" s="144">
        <f>E35+O35</f>
        <v>130000</v>
      </c>
      <c r="X35" s="144">
        <f>H35+P35</f>
        <v>0</v>
      </c>
      <c r="Y35" s="144">
        <f t="shared" si="14"/>
        <v>322000</v>
      </c>
      <c r="Z35" s="145">
        <f t="shared" si="14"/>
        <v>0</v>
      </c>
      <c r="AA35" s="141">
        <f>S35+T35+V35+W35+Y35+U35</f>
        <v>297000</v>
      </c>
      <c r="AB35" s="144">
        <f>X35+Z35</f>
        <v>0</v>
      </c>
      <c r="AC35" s="145">
        <f>AA35+AB35</f>
        <v>297000</v>
      </c>
    </row>
    <row r="36" spans="1:29" ht="15">
      <c r="A36" s="278" t="s">
        <v>24</v>
      </c>
      <c r="B36" s="144">
        <v>-178000</v>
      </c>
      <c r="C36" s="144">
        <v>0</v>
      </c>
      <c r="D36" s="144">
        <v>49000</v>
      </c>
      <c r="E36" s="144">
        <v>35000</v>
      </c>
      <c r="F36" s="144">
        <v>-140000</v>
      </c>
      <c r="G36" s="144"/>
      <c r="H36" s="144">
        <v>0</v>
      </c>
      <c r="I36" s="144"/>
      <c r="J36" s="144">
        <v>189000</v>
      </c>
      <c r="K36" s="144">
        <v>0</v>
      </c>
      <c r="L36" s="141">
        <v>-19000</v>
      </c>
      <c r="M36" s="144">
        <v>0</v>
      </c>
      <c r="N36" s="144">
        <v>1000</v>
      </c>
      <c r="O36" s="144">
        <v>1000</v>
      </c>
      <c r="P36" s="144">
        <v>0</v>
      </c>
      <c r="Q36" s="144">
        <v>2000</v>
      </c>
      <c r="R36" s="145">
        <v>0</v>
      </c>
      <c r="S36" s="144">
        <f>B36+L36</f>
        <v>-197000</v>
      </c>
      <c r="T36" s="144">
        <v>0</v>
      </c>
      <c r="U36" s="144">
        <f>D36+N36</f>
        <v>50000</v>
      </c>
      <c r="V36" s="144">
        <f>F36</f>
        <v>-140000</v>
      </c>
      <c r="W36" s="144">
        <f>E36+O36</f>
        <v>36000</v>
      </c>
      <c r="X36" s="144">
        <f>H36+P36</f>
        <v>0</v>
      </c>
      <c r="Y36" s="144">
        <f t="shared" si="14"/>
        <v>191000</v>
      </c>
      <c r="Z36" s="145">
        <f t="shared" si="14"/>
        <v>0</v>
      </c>
      <c r="AA36" s="141">
        <f>S36+T36+V36+W36+Y36+U36</f>
        <v>-60000</v>
      </c>
      <c r="AB36" s="144">
        <f>X36+Z36</f>
        <v>0</v>
      </c>
      <c r="AC36" s="145">
        <f>AA36+AB36</f>
        <v>-60000</v>
      </c>
    </row>
    <row r="37" spans="1:29" ht="15">
      <c r="A37" s="278" t="s">
        <v>25</v>
      </c>
      <c r="B37" s="144">
        <v>12000</v>
      </c>
      <c r="C37" s="144">
        <v>0</v>
      </c>
      <c r="D37" s="144">
        <v>0</v>
      </c>
      <c r="E37" s="144">
        <v>49000</v>
      </c>
      <c r="F37" s="144">
        <v>0</v>
      </c>
      <c r="G37" s="144"/>
      <c r="H37" s="144">
        <v>0</v>
      </c>
      <c r="I37" s="144"/>
      <c r="J37" s="144">
        <v>0</v>
      </c>
      <c r="K37" s="144">
        <f>-ROUND((J37/3)/1000,0)*1000</f>
        <v>0</v>
      </c>
      <c r="L37" s="141">
        <v>-8000</v>
      </c>
      <c r="M37" s="144">
        <v>0</v>
      </c>
      <c r="N37" s="144">
        <v>0</v>
      </c>
      <c r="O37" s="144">
        <v>4000</v>
      </c>
      <c r="P37" s="144">
        <v>0</v>
      </c>
      <c r="Q37" s="144">
        <v>0</v>
      </c>
      <c r="R37" s="145">
        <f>-ROUND(Q37/3,-3)</f>
        <v>0</v>
      </c>
      <c r="S37" s="144">
        <f>B37+L37</f>
        <v>4000</v>
      </c>
      <c r="T37" s="144">
        <v>0</v>
      </c>
      <c r="U37" s="144">
        <f>D37+N37</f>
        <v>0</v>
      </c>
      <c r="V37" s="144">
        <f>F37</f>
        <v>0</v>
      </c>
      <c r="W37" s="144">
        <f>E37+O37</f>
        <v>53000</v>
      </c>
      <c r="X37" s="144">
        <f>H37+P37</f>
        <v>0</v>
      </c>
      <c r="Y37" s="144">
        <f t="shared" si="14"/>
        <v>0</v>
      </c>
      <c r="Z37" s="145">
        <f t="shared" si="14"/>
        <v>0</v>
      </c>
      <c r="AA37" s="141">
        <f>S37+T37+V37+W37+Y37+U37</f>
        <v>57000</v>
      </c>
      <c r="AB37" s="144">
        <f>X37+Z37</f>
        <v>0</v>
      </c>
      <c r="AC37" s="145">
        <f>AA37+AB37</f>
        <v>57000</v>
      </c>
    </row>
    <row r="38" spans="1:29" ht="16.5" customHeight="1">
      <c r="A38" s="281" t="s">
        <v>26</v>
      </c>
      <c r="B38" s="144">
        <v>0</v>
      </c>
      <c r="C38" s="144">
        <v>0</v>
      </c>
      <c r="D38" s="144">
        <v>0</v>
      </c>
      <c r="E38" s="144">
        <v>0</v>
      </c>
      <c r="F38" s="144">
        <v>0</v>
      </c>
      <c r="G38" s="144"/>
      <c r="H38" s="144">
        <v>0</v>
      </c>
      <c r="I38" s="144"/>
      <c r="J38" s="144">
        <v>0</v>
      </c>
      <c r="K38" s="202">
        <v>0</v>
      </c>
      <c r="L38" s="141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>
        <f>-ROUND(Q38/3,-3)</f>
        <v>0</v>
      </c>
      <c r="S38" s="144">
        <f>B38+L38</f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f>J38+Q38</f>
        <v>0</v>
      </c>
      <c r="Z38" s="145">
        <v>0</v>
      </c>
      <c r="AA38" s="141">
        <f>S38+T38+V38+W38+Y38+U38</f>
        <v>0</v>
      </c>
      <c r="AB38" s="144">
        <f>X38+Z38</f>
        <v>0</v>
      </c>
      <c r="AC38" s="145">
        <f>AA38+AB38</f>
        <v>0</v>
      </c>
    </row>
    <row r="39" spans="1:29" ht="6" customHeight="1">
      <c r="A39" s="281"/>
      <c r="B39" s="144"/>
      <c r="C39" s="144"/>
      <c r="D39" s="144"/>
      <c r="E39" s="144"/>
      <c r="F39" s="144"/>
      <c r="G39" s="144"/>
      <c r="H39" s="144"/>
      <c r="I39" s="144"/>
      <c r="J39" s="144"/>
      <c r="K39" s="202"/>
      <c r="L39" s="141"/>
      <c r="M39" s="144"/>
      <c r="N39" s="144"/>
      <c r="O39" s="144"/>
      <c r="P39" s="144"/>
      <c r="Q39" s="144"/>
      <c r="R39" s="145"/>
      <c r="S39" s="144"/>
      <c r="T39" s="144"/>
      <c r="U39" s="144"/>
      <c r="V39" s="144"/>
      <c r="W39" s="144"/>
      <c r="X39" s="144"/>
      <c r="Y39" s="144"/>
      <c r="Z39" s="145"/>
      <c r="AA39" s="242"/>
      <c r="AB39" s="243"/>
      <c r="AC39" s="244"/>
    </row>
    <row r="40" spans="1:29" ht="15.75" thickBot="1">
      <c r="A40" s="282" t="s">
        <v>39</v>
      </c>
      <c r="B40" s="151">
        <f>SUM(B32:B38)</f>
        <v>3054000</v>
      </c>
      <c r="C40" s="151">
        <f>SUM(C32:C38)</f>
        <v>-16364000</v>
      </c>
      <c r="D40" s="151">
        <f>SUM(D32:D38)</f>
        <v>38294000</v>
      </c>
      <c r="E40" s="151">
        <f>SUM(E32:E38)</f>
        <v>3130000</v>
      </c>
      <c r="F40" s="151">
        <f>SUM(F32:F38)</f>
        <v>28581000</v>
      </c>
      <c r="G40" s="151"/>
      <c r="H40" s="151">
        <f>SUM(H32:H38)</f>
        <v>-19545000</v>
      </c>
      <c r="I40" s="151"/>
      <c r="J40" s="151">
        <f aca="true" t="shared" si="15" ref="J40:Y40">SUM(J32:J38)</f>
        <v>164885000</v>
      </c>
      <c r="K40" s="151">
        <f t="shared" si="15"/>
        <v>-54791000</v>
      </c>
      <c r="L40" s="238">
        <f t="shared" si="15"/>
        <v>-4083000</v>
      </c>
      <c r="M40" s="151">
        <f t="shared" si="15"/>
        <v>-2908000</v>
      </c>
      <c r="N40" s="151">
        <f t="shared" si="15"/>
        <v>1803000</v>
      </c>
      <c r="O40" s="151">
        <f t="shared" si="15"/>
        <v>193000</v>
      </c>
      <c r="P40" s="151">
        <f t="shared" si="15"/>
        <v>-665000</v>
      </c>
      <c r="Q40" s="151">
        <f t="shared" si="15"/>
        <v>7624000</v>
      </c>
      <c r="R40" s="152">
        <f t="shared" si="15"/>
        <v>-2540000</v>
      </c>
      <c r="S40" s="151">
        <f t="shared" si="15"/>
        <v>-1029000</v>
      </c>
      <c r="T40" s="151">
        <f t="shared" si="15"/>
        <v>-19272000</v>
      </c>
      <c r="U40" s="151">
        <f t="shared" si="15"/>
        <v>40097000</v>
      </c>
      <c r="V40" s="151">
        <f t="shared" si="15"/>
        <v>28581000</v>
      </c>
      <c r="W40" s="151">
        <f t="shared" si="15"/>
        <v>3323000</v>
      </c>
      <c r="X40" s="151">
        <f t="shared" si="15"/>
        <v>-20210000</v>
      </c>
      <c r="Y40" s="151">
        <f t="shared" si="15"/>
        <v>172509000</v>
      </c>
      <c r="Z40" s="152">
        <f>SUM(Z32:Z38)</f>
        <v>-57331000</v>
      </c>
      <c r="AA40" s="153">
        <f>SUM(AA32:AA38)</f>
        <v>224209000</v>
      </c>
      <c r="AB40" s="154">
        <f>SUM(AB32:AB38)</f>
        <v>-77541000</v>
      </c>
      <c r="AC40" s="201">
        <f>SUM(AC32:AC38)</f>
        <v>146668000</v>
      </c>
    </row>
    <row r="41" ht="6" customHeight="1">
      <c r="X41" s="200"/>
    </row>
    <row r="42" spans="2:25" ht="16.5" customHeight="1">
      <c r="B42" s="271" t="s">
        <v>80</v>
      </c>
      <c r="C42" s="271"/>
      <c r="D42" s="271"/>
      <c r="E42" s="239"/>
      <c r="F42" s="239"/>
      <c r="G42" s="239"/>
      <c r="H42" s="284"/>
      <c r="I42" s="239"/>
      <c r="J42" s="239"/>
      <c r="K42" s="283"/>
      <c r="L42" s="239"/>
      <c r="M42" s="239"/>
      <c r="N42" s="239"/>
      <c r="O42" s="239"/>
      <c r="P42" s="284"/>
      <c r="Q42" s="239"/>
      <c r="R42" s="271" t="s">
        <v>80</v>
      </c>
      <c r="X42" s="200"/>
      <c r="Y42" s="195"/>
    </row>
    <row r="43" spans="2:28" s="199" customFormat="1" ht="16.5" customHeight="1">
      <c r="B43" s="271" t="s">
        <v>189</v>
      </c>
      <c r="C43" s="271"/>
      <c r="D43" s="271"/>
      <c r="E43" s="240"/>
      <c r="F43" s="240"/>
      <c r="G43" s="240"/>
      <c r="H43" s="240"/>
      <c r="I43" s="240"/>
      <c r="J43" s="241"/>
      <c r="K43" s="240"/>
      <c r="L43" s="241"/>
      <c r="M43" s="241"/>
      <c r="N43" s="241"/>
      <c r="O43" s="241"/>
      <c r="P43" s="240"/>
      <c r="Q43" s="241"/>
      <c r="R43" s="271" t="s">
        <v>189</v>
      </c>
      <c r="U43" s="285"/>
      <c r="W43" s="285"/>
      <c r="Y43" s="285"/>
      <c r="AB43" s="285"/>
    </row>
    <row r="44" spans="2:18" s="199" customFormat="1" ht="16.5" customHeight="1">
      <c r="B44" s="386" t="s">
        <v>190</v>
      </c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6" t="s">
        <v>190</v>
      </c>
    </row>
    <row r="45" spans="2:18" s="199" customFormat="1" ht="16.5" customHeight="1">
      <c r="B45" s="239" t="s">
        <v>157</v>
      </c>
      <c r="C45" s="239"/>
      <c r="D45" s="271"/>
      <c r="E45" s="240"/>
      <c r="F45" s="240"/>
      <c r="G45" s="240"/>
      <c r="H45" s="240"/>
      <c r="I45" s="240"/>
      <c r="J45" s="241"/>
      <c r="K45" s="240"/>
      <c r="L45" s="241"/>
      <c r="M45" s="241"/>
      <c r="N45" s="241"/>
      <c r="O45" s="241"/>
      <c r="P45" s="240"/>
      <c r="Q45" s="241"/>
      <c r="R45" s="239" t="s">
        <v>157</v>
      </c>
    </row>
    <row r="46" s="196" customFormat="1" ht="18.75" customHeight="1">
      <c r="K46" s="197"/>
    </row>
    <row r="47" spans="2:27" s="196" customFormat="1" ht="18.75" customHeight="1">
      <c r="B47" s="197"/>
      <c r="C47" s="197"/>
      <c r="D47" s="197"/>
      <c r="E47" s="197"/>
      <c r="F47" s="197"/>
      <c r="G47" s="197"/>
      <c r="H47" s="197"/>
      <c r="I47" s="197"/>
      <c r="J47" s="197"/>
      <c r="K47" s="198"/>
      <c r="O47" s="197"/>
      <c r="P47" s="198"/>
      <c r="Q47" s="197"/>
      <c r="W47" s="197"/>
      <c r="Y47" s="197"/>
      <c r="AA47" s="197"/>
    </row>
    <row r="48" spans="10:11" ht="15">
      <c r="J48" s="195"/>
      <c r="K48" s="195"/>
    </row>
    <row r="49" spans="2:11" ht="15">
      <c r="B49" s="200"/>
      <c r="C49" s="200"/>
      <c r="D49" s="200"/>
      <c r="E49" s="200"/>
      <c r="F49" s="200"/>
      <c r="G49" s="200"/>
      <c r="H49" s="200"/>
      <c r="I49" s="200"/>
      <c r="J49" s="200"/>
      <c r="K49" s="200"/>
    </row>
  </sheetData>
  <sheetProtection/>
  <mergeCells count="5">
    <mergeCell ref="AA4:AC4"/>
    <mergeCell ref="G6:I6"/>
    <mergeCell ref="B4:K4"/>
    <mergeCell ref="L4:R4"/>
    <mergeCell ref="S4:Z4"/>
  </mergeCells>
  <printOptions/>
  <pageMargins left="0.18" right="0.12" top="0.59" bottom="0.25" header="0.3" footer="0.3"/>
  <pageSetup horizontalDpi="600" verticalDpi="6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33203125" defaultRowHeight="12.75"/>
  <cols>
    <col min="1" max="1" width="28.16015625" style="162" customWidth="1"/>
    <col min="2" max="2" width="15.5" style="162" customWidth="1"/>
    <col min="3" max="3" width="1.83203125" style="160" customWidth="1"/>
    <col min="4" max="4" width="16.33203125" style="160" customWidth="1"/>
    <col min="5" max="5" width="17.83203125" style="160" customWidth="1"/>
    <col min="6" max="6" width="1.83203125" style="160" customWidth="1"/>
    <col min="7" max="7" width="11.83203125" style="160" customWidth="1"/>
    <col min="8" max="8" width="2.5" style="160" customWidth="1"/>
    <col min="9" max="9" width="14.66015625" style="161" bestFit="1" customWidth="1"/>
    <col min="10" max="10" width="14.16015625" style="162" customWidth="1"/>
    <col min="11" max="16384" width="9.33203125" style="162" customWidth="1"/>
  </cols>
  <sheetData>
    <row r="1" spans="1:2" ht="15.75">
      <c r="A1" s="163" t="s">
        <v>184</v>
      </c>
      <c r="B1" s="159"/>
    </row>
    <row r="2" spans="1:9" ht="15.75">
      <c r="A2" s="163"/>
      <c r="B2" s="163"/>
      <c r="C2" s="164"/>
      <c r="D2" s="164"/>
      <c r="E2" s="164"/>
      <c r="F2" s="164"/>
      <c r="G2" s="164"/>
      <c r="H2" s="164"/>
      <c r="I2" s="165"/>
    </row>
    <row r="3" spans="1:10" ht="15.75" customHeight="1" thickBot="1">
      <c r="A3" s="167"/>
      <c r="B3" s="411" t="s">
        <v>65</v>
      </c>
      <c r="C3" s="411"/>
      <c r="D3" s="411"/>
      <c r="E3" s="411"/>
      <c r="F3" s="411"/>
      <c r="G3" s="166"/>
      <c r="H3" s="166"/>
      <c r="I3" s="167"/>
      <c r="J3" s="168"/>
    </row>
    <row r="4" spans="1:10" s="173" customFormat="1" ht="25.5" customHeight="1">
      <c r="A4" s="192"/>
      <c r="B4" s="169">
        <v>-1</v>
      </c>
      <c r="C4" s="170"/>
      <c r="D4" s="170">
        <v>-2</v>
      </c>
      <c r="E4" s="170">
        <v>-3</v>
      </c>
      <c r="F4" s="170"/>
      <c r="G4" s="170">
        <v>-4</v>
      </c>
      <c r="H4" s="170"/>
      <c r="I4" s="171"/>
      <c r="J4" s="172"/>
    </row>
    <row r="5" spans="1:10" s="176" customFormat="1" ht="69" customHeight="1">
      <c r="A5" s="193"/>
      <c r="B5" s="290" t="s">
        <v>68</v>
      </c>
      <c r="C5" s="193"/>
      <c r="D5" s="249" t="s">
        <v>108</v>
      </c>
      <c r="E5" s="258" t="s">
        <v>185</v>
      </c>
      <c r="F5" s="193"/>
      <c r="G5" s="193" t="s">
        <v>81</v>
      </c>
      <c r="H5" s="174"/>
      <c r="I5" s="290" t="s">
        <v>82</v>
      </c>
      <c r="J5" s="175"/>
    </row>
    <row r="6" spans="1:10" s="333" customFormat="1" ht="12.75">
      <c r="A6" s="328"/>
      <c r="B6" s="376"/>
      <c r="C6" s="332"/>
      <c r="D6" s="259"/>
      <c r="E6" s="331"/>
      <c r="F6" s="332"/>
      <c r="G6" s="328"/>
      <c r="H6" s="328"/>
      <c r="I6" s="330" t="s">
        <v>175</v>
      </c>
      <c r="J6" s="329"/>
    </row>
    <row r="7" spans="1:10" s="180" customFormat="1" ht="9" customHeight="1">
      <c r="A7" s="178"/>
      <c r="B7" s="177"/>
      <c r="C7" s="178"/>
      <c r="D7" s="260"/>
      <c r="E7" s="177"/>
      <c r="F7" s="178"/>
      <c r="G7" s="178"/>
      <c r="H7" s="178"/>
      <c r="I7" s="181"/>
      <c r="J7" s="179"/>
    </row>
    <row r="8" spans="1:10" ht="15">
      <c r="A8" s="166" t="s">
        <v>0</v>
      </c>
      <c r="B8" s="377">
        <v>6670</v>
      </c>
      <c r="C8" s="166"/>
      <c r="D8" s="261">
        <v>191</v>
      </c>
      <c r="E8" s="182">
        <f>B8+D8</f>
        <v>6861</v>
      </c>
      <c r="F8" s="166"/>
      <c r="G8" s="166">
        <v>115</v>
      </c>
      <c r="H8" s="166"/>
      <c r="I8" s="183">
        <f>E8+G8</f>
        <v>6976</v>
      </c>
      <c r="J8" s="184"/>
    </row>
    <row r="9" spans="1:10" ht="15">
      <c r="A9" s="166" t="s">
        <v>1</v>
      </c>
      <c r="B9" s="377">
        <v>3057</v>
      </c>
      <c r="C9" s="166"/>
      <c r="D9" s="261">
        <v>193</v>
      </c>
      <c r="E9" s="182">
        <f aca="true" t="shared" si="0" ref="E9:E30">B9+D9</f>
        <v>3250</v>
      </c>
      <c r="F9" s="166"/>
      <c r="G9" s="166">
        <v>8</v>
      </c>
      <c r="H9" s="166"/>
      <c r="I9" s="183">
        <f aca="true" t="shared" si="1" ref="I9:I30">E9+G9</f>
        <v>3258</v>
      </c>
      <c r="J9" s="184"/>
    </row>
    <row r="10" spans="1:10" ht="15">
      <c r="A10" s="166" t="s">
        <v>2</v>
      </c>
      <c r="B10" s="377">
        <v>13959</v>
      </c>
      <c r="C10" s="166"/>
      <c r="D10" s="261">
        <v>234</v>
      </c>
      <c r="E10" s="182">
        <f t="shared" si="0"/>
        <v>14193</v>
      </c>
      <c r="F10" s="166"/>
      <c r="G10" s="166">
        <v>490</v>
      </c>
      <c r="H10" s="166"/>
      <c r="I10" s="183">
        <f t="shared" si="1"/>
        <v>14683</v>
      </c>
      <c r="J10" s="184"/>
    </row>
    <row r="11" spans="1:10" ht="15">
      <c r="A11" s="166" t="s">
        <v>3</v>
      </c>
      <c r="B11" s="377">
        <v>9057</v>
      </c>
      <c r="C11" s="166"/>
      <c r="D11" s="261">
        <v>368</v>
      </c>
      <c r="E11" s="182">
        <f t="shared" si="0"/>
        <v>9425</v>
      </c>
      <c r="F11" s="166"/>
      <c r="G11" s="166">
        <v>112</v>
      </c>
      <c r="H11" s="166"/>
      <c r="I11" s="183">
        <f t="shared" si="1"/>
        <v>9537</v>
      </c>
      <c r="J11" s="184"/>
    </row>
    <row r="12" spans="1:10" ht="15">
      <c r="A12" s="166" t="s">
        <v>29</v>
      </c>
      <c r="B12" s="377">
        <v>11162</v>
      </c>
      <c r="C12" s="166"/>
      <c r="D12" s="261">
        <v>138</v>
      </c>
      <c r="E12" s="182">
        <f t="shared" si="0"/>
        <v>11300</v>
      </c>
      <c r="F12" s="166"/>
      <c r="G12" s="166">
        <v>1167</v>
      </c>
      <c r="H12" s="166"/>
      <c r="I12" s="183">
        <f t="shared" si="1"/>
        <v>12467</v>
      </c>
      <c r="J12" s="184"/>
    </row>
    <row r="13" spans="1:10" ht="15">
      <c r="A13" s="166" t="s">
        <v>4</v>
      </c>
      <c r="B13" s="377">
        <v>17255</v>
      </c>
      <c r="C13" s="166"/>
      <c r="D13" s="261">
        <v>312</v>
      </c>
      <c r="E13" s="182">
        <f t="shared" si="0"/>
        <v>17567</v>
      </c>
      <c r="F13" s="166"/>
      <c r="G13" s="166">
        <v>438</v>
      </c>
      <c r="H13" s="166"/>
      <c r="I13" s="183">
        <f t="shared" si="1"/>
        <v>18005</v>
      </c>
      <c r="J13" s="184"/>
    </row>
    <row r="14" spans="1:10" ht="15">
      <c r="A14" s="166" t="s">
        <v>5</v>
      </c>
      <c r="B14" s="377">
        <v>25598</v>
      </c>
      <c r="C14" s="166"/>
      <c r="D14" s="261">
        <v>1277</v>
      </c>
      <c r="E14" s="182">
        <f t="shared" si="0"/>
        <v>26875</v>
      </c>
      <c r="F14" s="166"/>
      <c r="G14" s="166">
        <v>829</v>
      </c>
      <c r="H14" s="166"/>
      <c r="I14" s="183">
        <f t="shared" si="1"/>
        <v>27704</v>
      </c>
      <c r="J14" s="184"/>
    </row>
    <row r="15" spans="1:10" ht="15">
      <c r="A15" s="166" t="s">
        <v>6</v>
      </c>
      <c r="B15" s="377">
        <v>6814</v>
      </c>
      <c r="C15" s="166"/>
      <c r="D15" s="261">
        <v>186</v>
      </c>
      <c r="E15" s="182">
        <f t="shared" si="0"/>
        <v>7000</v>
      </c>
      <c r="F15" s="166"/>
      <c r="G15" s="166">
        <v>248</v>
      </c>
      <c r="H15" s="166"/>
      <c r="I15" s="183">
        <f t="shared" si="1"/>
        <v>7248</v>
      </c>
      <c r="J15" s="184"/>
    </row>
    <row r="16" spans="1:10" ht="15">
      <c r="A16" s="166" t="s">
        <v>7</v>
      </c>
      <c r="B16" s="377">
        <v>26454</v>
      </c>
      <c r="C16" s="166"/>
      <c r="D16" s="261">
        <v>421</v>
      </c>
      <c r="E16" s="182">
        <f t="shared" si="0"/>
        <v>26875</v>
      </c>
      <c r="F16" s="166"/>
      <c r="G16" s="166">
        <v>1093</v>
      </c>
      <c r="H16" s="166"/>
      <c r="I16" s="183">
        <f t="shared" si="1"/>
        <v>27968</v>
      </c>
      <c r="J16" s="184"/>
    </row>
    <row r="17" spans="1:10" ht="15">
      <c r="A17" s="166" t="s">
        <v>8</v>
      </c>
      <c r="B17" s="377">
        <v>16131</v>
      </c>
      <c r="C17" s="166"/>
      <c r="D17" s="261">
        <v>219</v>
      </c>
      <c r="E17" s="182">
        <f t="shared" si="0"/>
        <v>16350</v>
      </c>
      <c r="F17" s="166"/>
      <c r="G17" s="166">
        <v>781</v>
      </c>
      <c r="H17" s="166"/>
      <c r="I17" s="183">
        <f t="shared" si="1"/>
        <v>17131</v>
      </c>
      <c r="J17" s="184"/>
    </row>
    <row r="18" spans="1:10" ht="15">
      <c r="A18" s="166" t="s">
        <v>9</v>
      </c>
      <c r="B18" s="377">
        <v>950</v>
      </c>
      <c r="C18" s="166"/>
      <c r="D18" s="261">
        <v>75</v>
      </c>
      <c r="E18" s="182">
        <f t="shared" si="0"/>
        <v>1025</v>
      </c>
      <c r="F18" s="166"/>
      <c r="G18" s="166">
        <v>30</v>
      </c>
      <c r="H18" s="166"/>
      <c r="I18" s="183">
        <f t="shared" si="1"/>
        <v>1055</v>
      </c>
      <c r="J18" s="184"/>
    </row>
    <row r="19" spans="1:10" ht="15">
      <c r="A19" s="166" t="s">
        <v>10</v>
      </c>
      <c r="B19" s="377">
        <v>3900</v>
      </c>
      <c r="C19" s="166"/>
      <c r="D19" s="261">
        <v>600</v>
      </c>
      <c r="E19" s="182">
        <f t="shared" si="0"/>
        <v>4500</v>
      </c>
      <c r="F19" s="166"/>
      <c r="G19" s="166">
        <v>83</v>
      </c>
      <c r="H19" s="166"/>
      <c r="I19" s="183">
        <f t="shared" si="1"/>
        <v>4583</v>
      </c>
      <c r="J19" s="184"/>
    </row>
    <row r="20" spans="1:10" ht="15">
      <c r="A20" s="166" t="s">
        <v>11</v>
      </c>
      <c r="B20" s="377">
        <v>24226</v>
      </c>
      <c r="C20" s="166"/>
      <c r="D20" s="261">
        <v>1044</v>
      </c>
      <c r="E20" s="182">
        <f t="shared" si="0"/>
        <v>25270</v>
      </c>
      <c r="F20" s="166"/>
      <c r="G20" s="166">
        <v>1482</v>
      </c>
      <c r="H20" s="166"/>
      <c r="I20" s="183">
        <f t="shared" si="1"/>
        <v>26752</v>
      </c>
      <c r="J20" s="184"/>
    </row>
    <row r="21" spans="1:10" ht="15">
      <c r="A21" s="166" t="s">
        <v>12</v>
      </c>
      <c r="B21" s="377">
        <v>16905</v>
      </c>
      <c r="C21" s="166"/>
      <c r="D21" s="261">
        <v>245</v>
      </c>
      <c r="E21" s="182">
        <f t="shared" si="0"/>
        <v>17150</v>
      </c>
      <c r="F21" s="166"/>
      <c r="G21" s="166">
        <v>605</v>
      </c>
      <c r="H21" s="166"/>
      <c r="I21" s="183">
        <f t="shared" si="1"/>
        <v>17755</v>
      </c>
      <c r="J21" s="184"/>
    </row>
    <row r="22" spans="1:10" ht="15">
      <c r="A22" s="166" t="s">
        <v>13</v>
      </c>
      <c r="B22" s="377">
        <v>21625</v>
      </c>
      <c r="C22" s="166"/>
      <c r="D22" s="261">
        <v>0</v>
      </c>
      <c r="E22" s="182">
        <f t="shared" si="0"/>
        <v>21625</v>
      </c>
      <c r="F22" s="166"/>
      <c r="G22" s="166">
        <v>461</v>
      </c>
      <c r="H22" s="166"/>
      <c r="I22" s="183">
        <f t="shared" si="1"/>
        <v>22086</v>
      </c>
      <c r="J22" s="184"/>
    </row>
    <row r="23" spans="1:10" ht="15">
      <c r="A23" s="166" t="s">
        <v>14</v>
      </c>
      <c r="B23" s="377">
        <v>13678</v>
      </c>
      <c r="C23" s="166"/>
      <c r="D23" s="261">
        <v>172</v>
      </c>
      <c r="E23" s="182">
        <f t="shared" si="0"/>
        <v>13850</v>
      </c>
      <c r="F23" s="166"/>
      <c r="G23" s="166">
        <v>539</v>
      </c>
      <c r="H23" s="166"/>
      <c r="I23" s="183">
        <f t="shared" si="1"/>
        <v>14389</v>
      </c>
      <c r="J23" s="184"/>
    </row>
    <row r="24" spans="1:10" ht="15">
      <c r="A24" s="166" t="s">
        <v>15</v>
      </c>
      <c r="B24" s="377">
        <v>26641</v>
      </c>
      <c r="C24" s="166"/>
      <c r="D24" s="261">
        <v>-727</v>
      </c>
      <c r="E24" s="182">
        <f t="shared" si="0"/>
        <v>25914</v>
      </c>
      <c r="F24" s="166"/>
      <c r="G24" s="166">
        <v>1721</v>
      </c>
      <c r="H24" s="166"/>
      <c r="I24" s="183">
        <f t="shared" si="1"/>
        <v>27635</v>
      </c>
      <c r="J24" s="184"/>
    </row>
    <row r="25" spans="1:10" ht="15">
      <c r="A25" s="166" t="s">
        <v>16</v>
      </c>
      <c r="B25" s="377">
        <v>22044</v>
      </c>
      <c r="C25" s="166"/>
      <c r="D25" s="261">
        <v>756</v>
      </c>
      <c r="E25" s="182">
        <f t="shared" si="0"/>
        <v>22800</v>
      </c>
      <c r="F25" s="166"/>
      <c r="G25" s="166">
        <v>1754</v>
      </c>
      <c r="H25" s="166"/>
      <c r="I25" s="183">
        <f t="shared" si="1"/>
        <v>24554</v>
      </c>
      <c r="J25" s="184"/>
    </row>
    <row r="26" spans="1:10" ht="15">
      <c r="A26" s="166" t="s">
        <v>17</v>
      </c>
      <c r="B26" s="377">
        <v>21145</v>
      </c>
      <c r="C26" s="166"/>
      <c r="D26" s="261">
        <v>-100</v>
      </c>
      <c r="E26" s="182">
        <f t="shared" si="0"/>
        <v>21045</v>
      </c>
      <c r="F26" s="166"/>
      <c r="G26" s="166">
        <v>1441</v>
      </c>
      <c r="H26" s="166"/>
      <c r="I26" s="183">
        <f t="shared" si="1"/>
        <v>22486</v>
      </c>
      <c r="J26" s="184"/>
    </row>
    <row r="27" spans="1:10" ht="15">
      <c r="A27" s="166" t="s">
        <v>18</v>
      </c>
      <c r="B27" s="377">
        <v>16463</v>
      </c>
      <c r="C27" s="166"/>
      <c r="D27" s="261">
        <v>-463</v>
      </c>
      <c r="E27" s="182">
        <f t="shared" si="0"/>
        <v>16000</v>
      </c>
      <c r="F27" s="166"/>
      <c r="G27" s="166">
        <v>798</v>
      </c>
      <c r="H27" s="166"/>
      <c r="I27" s="183">
        <f t="shared" si="1"/>
        <v>16798</v>
      </c>
      <c r="J27" s="184"/>
    </row>
    <row r="28" spans="1:10" ht="15">
      <c r="A28" s="166" t="s">
        <v>19</v>
      </c>
      <c r="B28" s="377">
        <v>7055</v>
      </c>
      <c r="C28" s="166"/>
      <c r="D28" s="261">
        <v>345</v>
      </c>
      <c r="E28" s="182">
        <f t="shared" si="0"/>
        <v>7400</v>
      </c>
      <c r="F28" s="166"/>
      <c r="G28" s="166">
        <v>106</v>
      </c>
      <c r="H28" s="166"/>
      <c r="I28" s="183">
        <f t="shared" si="1"/>
        <v>7506</v>
      </c>
      <c r="J28" s="184"/>
    </row>
    <row r="29" spans="1:10" ht="15">
      <c r="A29" s="166" t="s">
        <v>20</v>
      </c>
      <c r="B29" s="377">
        <v>7266</v>
      </c>
      <c r="C29" s="166"/>
      <c r="D29" s="261">
        <v>184</v>
      </c>
      <c r="E29" s="182">
        <f t="shared" si="0"/>
        <v>7450</v>
      </c>
      <c r="F29" s="166"/>
      <c r="G29" s="166">
        <v>83</v>
      </c>
      <c r="H29" s="166"/>
      <c r="I29" s="183">
        <f t="shared" si="1"/>
        <v>7533</v>
      </c>
      <c r="J29" s="184"/>
    </row>
    <row r="30" spans="1:10" ht="15">
      <c r="A30" s="166" t="s">
        <v>21</v>
      </c>
      <c r="B30" s="377">
        <v>6869</v>
      </c>
      <c r="C30" s="166"/>
      <c r="D30" s="261">
        <v>-154</v>
      </c>
      <c r="E30" s="182">
        <f t="shared" si="0"/>
        <v>6715</v>
      </c>
      <c r="F30" s="166"/>
      <c r="G30" s="166">
        <v>116</v>
      </c>
      <c r="H30" s="166"/>
      <c r="I30" s="183">
        <f t="shared" si="1"/>
        <v>6831</v>
      </c>
      <c r="J30" s="184"/>
    </row>
    <row r="31" spans="1:10" ht="9" customHeight="1">
      <c r="A31" s="221"/>
      <c r="B31" s="222"/>
      <c r="C31" s="221"/>
      <c r="D31" s="262"/>
      <c r="E31" s="222"/>
      <c r="F31" s="221"/>
      <c r="G31" s="221"/>
      <c r="H31" s="221"/>
      <c r="I31" s="222"/>
      <c r="J31" s="184"/>
    </row>
    <row r="32" spans="1:10" s="161" customFormat="1" ht="18.75" customHeight="1" thickBot="1">
      <c r="A32" s="186" t="s">
        <v>22</v>
      </c>
      <c r="B32" s="185">
        <f>SUM(B8:B30)</f>
        <v>324924</v>
      </c>
      <c r="C32" s="186"/>
      <c r="D32" s="263">
        <f>SUM(D8:D30)</f>
        <v>5516</v>
      </c>
      <c r="E32" s="185">
        <f>SUM(E8:E30)</f>
        <v>330440</v>
      </c>
      <c r="F32" s="186"/>
      <c r="G32" s="186">
        <f>SUM(G8:G30)</f>
        <v>14500</v>
      </c>
      <c r="H32" s="186"/>
      <c r="I32" s="185">
        <f>SUM(I8:I30)</f>
        <v>344940</v>
      </c>
      <c r="J32" s="187"/>
    </row>
    <row r="33" spans="1:10" ht="9" customHeight="1" thickTop="1">
      <c r="A33" s="166"/>
      <c r="B33" s="182"/>
      <c r="C33" s="166"/>
      <c r="D33" s="261"/>
      <c r="E33" s="182"/>
      <c r="F33" s="166"/>
      <c r="G33" s="166"/>
      <c r="H33" s="166"/>
      <c r="I33" s="183"/>
      <c r="J33" s="184"/>
    </row>
    <row r="34" spans="1:10" ht="15">
      <c r="A34" s="166" t="s">
        <v>23</v>
      </c>
      <c r="B34" s="377">
        <v>0</v>
      </c>
      <c r="C34" s="166"/>
      <c r="D34" s="261">
        <v>0</v>
      </c>
      <c r="E34" s="182">
        <f>B34+D34</f>
        <v>0</v>
      </c>
      <c r="F34" s="166"/>
      <c r="G34" s="166">
        <v>0</v>
      </c>
      <c r="H34" s="166"/>
      <c r="I34" s="183">
        <f>E34+G34</f>
        <v>0</v>
      </c>
      <c r="J34" s="184"/>
    </row>
    <row r="35" spans="1:10" ht="15">
      <c r="A35" s="166" t="s">
        <v>30</v>
      </c>
      <c r="B35" s="377">
        <v>650</v>
      </c>
      <c r="C35" s="166"/>
      <c r="D35" s="261">
        <f>E35-B35</f>
        <v>-50</v>
      </c>
      <c r="E35" s="182">
        <v>600</v>
      </c>
      <c r="F35" s="166"/>
      <c r="G35" s="166">
        <v>0</v>
      </c>
      <c r="H35" s="166"/>
      <c r="I35" s="183">
        <f>E35+G35</f>
        <v>600</v>
      </c>
      <c r="J35" s="184"/>
    </row>
    <row r="36" spans="1:10" ht="15">
      <c r="A36" s="166" t="s">
        <v>24</v>
      </c>
      <c r="B36" s="377">
        <v>665</v>
      </c>
      <c r="C36" s="166"/>
      <c r="D36" s="261">
        <f>E36-B36</f>
        <v>-40</v>
      </c>
      <c r="E36" s="182">
        <v>625</v>
      </c>
      <c r="F36" s="166"/>
      <c r="G36" s="166">
        <v>7</v>
      </c>
      <c r="H36" s="166"/>
      <c r="I36" s="183">
        <f>E36+G36</f>
        <v>632</v>
      </c>
      <c r="J36" s="184"/>
    </row>
    <row r="37" spans="1:10" ht="15">
      <c r="A37" s="166" t="s">
        <v>25</v>
      </c>
      <c r="B37" s="377">
        <v>51</v>
      </c>
      <c r="C37" s="166"/>
      <c r="D37" s="261">
        <v>0</v>
      </c>
      <c r="E37" s="182">
        <f>B37+D37</f>
        <v>51</v>
      </c>
      <c r="F37" s="166"/>
      <c r="G37" s="166">
        <v>2</v>
      </c>
      <c r="H37" s="166"/>
      <c r="I37" s="183">
        <f>E37+G37</f>
        <v>53</v>
      </c>
      <c r="J37" s="184"/>
    </row>
    <row r="38" spans="1:10" ht="15">
      <c r="A38" s="166" t="s">
        <v>26</v>
      </c>
      <c r="B38" s="377">
        <v>0</v>
      </c>
      <c r="C38" s="166"/>
      <c r="D38" s="261">
        <v>0</v>
      </c>
      <c r="E38" s="182">
        <f>B38+D38</f>
        <v>0</v>
      </c>
      <c r="F38" s="166"/>
      <c r="G38" s="166">
        <v>0</v>
      </c>
      <c r="H38" s="166"/>
      <c r="I38" s="183">
        <f>E38+G38</f>
        <v>0</v>
      </c>
      <c r="J38" s="184"/>
    </row>
    <row r="39" spans="1:10" ht="9" customHeight="1">
      <c r="A39" s="166"/>
      <c r="B39" s="222"/>
      <c r="C39" s="166"/>
      <c r="D39" s="261"/>
      <c r="E39" s="182"/>
      <c r="F39" s="224"/>
      <c r="G39" s="166"/>
      <c r="H39" s="166"/>
      <c r="I39" s="183"/>
      <c r="J39" s="184"/>
    </row>
    <row r="40" spans="1:10" s="161" customFormat="1" ht="22.5" customHeight="1" thickBot="1">
      <c r="A40" s="189" t="s">
        <v>27</v>
      </c>
      <c r="B40" s="190">
        <f>SUM(B34:B38,B32)</f>
        <v>326290</v>
      </c>
      <c r="C40" s="190"/>
      <c r="D40" s="264">
        <f>SUM(D34:D38,D32)</f>
        <v>5426</v>
      </c>
      <c r="E40" s="188">
        <f>SUM(E34:E38,E32)</f>
        <v>331716</v>
      </c>
      <c r="F40" s="223"/>
      <c r="G40" s="189">
        <f>SUM(G32:G38)</f>
        <v>14509</v>
      </c>
      <c r="H40" s="189"/>
      <c r="I40" s="188">
        <f>SUM(I32:I38)</f>
        <v>346225</v>
      </c>
      <c r="J40" s="187"/>
    </row>
    <row r="41" spans="1:2" ht="12.75">
      <c r="A41" s="161"/>
      <c r="B41" s="161"/>
    </row>
    <row r="42" spans="1:10" s="191" customFormat="1" ht="18" customHeight="1">
      <c r="A42" s="412" t="s">
        <v>87</v>
      </c>
      <c r="B42" s="412"/>
      <c r="C42" s="412"/>
      <c r="D42" s="412"/>
      <c r="E42" s="412"/>
      <c r="F42" s="412"/>
      <c r="G42" s="412"/>
      <c r="H42" s="412"/>
      <c r="I42" s="412"/>
      <c r="J42" s="412"/>
    </row>
    <row r="43" spans="1:10" s="191" customFormat="1" ht="18" customHeight="1">
      <c r="A43" s="286" t="s">
        <v>107</v>
      </c>
      <c r="B43" s="160"/>
      <c r="C43" s="160"/>
      <c r="D43" s="160"/>
      <c r="E43" s="160"/>
      <c r="F43" s="160"/>
      <c r="G43" s="160"/>
      <c r="H43" s="160"/>
      <c r="I43" s="161"/>
      <c r="J43" s="160"/>
    </row>
    <row r="44" spans="1:9" ht="27.75" customHeight="1">
      <c r="A44" s="413" t="s">
        <v>158</v>
      </c>
      <c r="B44" s="413"/>
      <c r="C44" s="413"/>
      <c r="D44" s="413"/>
      <c r="E44" s="413"/>
      <c r="F44" s="413"/>
      <c r="G44" s="413"/>
      <c r="H44" s="413"/>
      <c r="I44" s="413"/>
    </row>
  </sheetData>
  <sheetProtection/>
  <mergeCells count="3">
    <mergeCell ref="B3:F3"/>
    <mergeCell ref="A42:J42"/>
    <mergeCell ref="A44:I44"/>
  </mergeCells>
  <printOptions horizontalCentered="1"/>
  <pageMargins left="0.5" right="0.5" top="0.5" bottom="0.75" header="0.5" footer="0.5"/>
  <pageSetup fitToHeight="1" fitToWidth="1"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27" sqref="S27"/>
    </sheetView>
  </sheetViews>
  <sheetFormatPr defaultColWidth="9.33203125" defaultRowHeight="12.75"/>
  <cols>
    <col min="1" max="1" width="1.83203125" style="89" customWidth="1"/>
    <col min="2" max="2" width="22.16015625" style="88" customWidth="1"/>
    <col min="3" max="3" width="14.16015625" style="88" bestFit="1" customWidth="1"/>
    <col min="4" max="4" width="10" style="88" customWidth="1"/>
    <col min="5" max="5" width="14" style="88" bestFit="1" customWidth="1"/>
    <col min="6" max="6" width="11" style="89" bestFit="1" customWidth="1"/>
    <col min="7" max="7" width="14" style="88" bestFit="1" customWidth="1"/>
    <col min="8" max="8" width="12.16015625" style="88" bestFit="1" customWidth="1"/>
    <col min="9" max="9" width="14" style="88" bestFit="1" customWidth="1"/>
    <col min="10" max="10" width="12.16015625" style="88" bestFit="1" customWidth="1"/>
    <col min="11" max="11" width="4.83203125" style="88" customWidth="1"/>
    <col min="12" max="12" width="15.5" style="88" bestFit="1" customWidth="1"/>
    <col min="13" max="13" width="4.83203125" style="88" customWidth="1"/>
    <col min="14" max="14" width="2.83203125" style="88" customWidth="1"/>
    <col min="15" max="15" width="16.16015625" style="88" customWidth="1"/>
    <col min="16" max="16384" width="9.33203125" style="88" customWidth="1"/>
  </cols>
  <sheetData>
    <row r="1" ht="16.5">
      <c r="A1" s="87" t="s">
        <v>186</v>
      </c>
    </row>
    <row r="2" ht="15.75" customHeight="1">
      <c r="B2" s="212"/>
    </row>
    <row r="3" spans="3:12" ht="14.25" customHeight="1">
      <c r="C3" s="90">
        <v>-1</v>
      </c>
      <c r="D3" s="90"/>
      <c r="E3" s="90"/>
      <c r="F3" s="90"/>
      <c r="G3" s="90"/>
      <c r="H3" s="90"/>
      <c r="I3" s="90">
        <v>-2</v>
      </c>
      <c r="L3" s="90">
        <v>-3</v>
      </c>
    </row>
    <row r="4" spans="1:14" ht="36.75" customHeight="1">
      <c r="A4" s="91"/>
      <c r="B4" s="92"/>
      <c r="C4" s="93"/>
      <c r="D4" s="93"/>
      <c r="E4" s="414" t="s">
        <v>83</v>
      </c>
      <c r="F4" s="415"/>
      <c r="G4" s="415"/>
      <c r="H4" s="415"/>
      <c r="I4" s="415"/>
      <c r="J4" s="415"/>
      <c r="K4" s="415"/>
      <c r="L4" s="415"/>
      <c r="M4" s="415"/>
      <c r="N4" s="247"/>
    </row>
    <row r="5" spans="1:15" s="98" customFormat="1" ht="75.75" customHeight="1" thickBot="1">
      <c r="A5" s="94"/>
      <c r="B5" s="95" t="s">
        <v>34</v>
      </c>
      <c r="C5" s="96" t="s">
        <v>86</v>
      </c>
      <c r="D5" s="97"/>
      <c r="E5" s="416" t="s">
        <v>84</v>
      </c>
      <c r="F5" s="417"/>
      <c r="G5" s="245" t="s">
        <v>85</v>
      </c>
      <c r="H5" s="246"/>
      <c r="I5" s="418" t="s">
        <v>192</v>
      </c>
      <c r="J5" s="418"/>
      <c r="K5" s="419" t="s">
        <v>193</v>
      </c>
      <c r="L5" s="420"/>
      <c r="M5" s="421"/>
      <c r="N5" s="99"/>
      <c r="O5" s="140"/>
    </row>
    <row r="6" spans="1:15" s="342" customFormat="1" ht="15">
      <c r="A6" s="334"/>
      <c r="B6" s="335"/>
      <c r="C6" s="336" t="s">
        <v>42</v>
      </c>
      <c r="D6" s="337" t="s">
        <v>43</v>
      </c>
      <c r="E6" s="338" t="s">
        <v>42</v>
      </c>
      <c r="F6" s="339" t="s">
        <v>43</v>
      </c>
      <c r="G6" s="338" t="s">
        <v>42</v>
      </c>
      <c r="H6" s="337" t="s">
        <v>43</v>
      </c>
      <c r="I6" s="338" t="s">
        <v>42</v>
      </c>
      <c r="J6" s="337" t="s">
        <v>43</v>
      </c>
      <c r="K6" s="338"/>
      <c r="L6" s="340" t="s">
        <v>64</v>
      </c>
      <c r="M6" s="341"/>
      <c r="N6" s="335"/>
      <c r="O6" s="335"/>
    </row>
    <row r="7" spans="1:15" ht="6" customHeight="1">
      <c r="A7" s="102"/>
      <c r="B7" s="100"/>
      <c r="C7" s="105"/>
      <c r="D7" s="100"/>
      <c r="E7" s="105"/>
      <c r="F7" s="103"/>
      <c r="G7" s="105"/>
      <c r="H7" s="101"/>
      <c r="I7" s="105"/>
      <c r="J7" s="101"/>
      <c r="K7" s="102"/>
      <c r="M7" s="104"/>
      <c r="N7" s="100"/>
      <c r="O7" s="100"/>
    </row>
    <row r="8" spans="1:15" ht="15">
      <c r="A8" s="106"/>
      <c r="B8" s="100" t="s">
        <v>44</v>
      </c>
      <c r="C8" s="107">
        <v>11423800</v>
      </c>
      <c r="D8" s="108">
        <f aca="true" t="shared" si="0" ref="D8:D30">C8/$C$32</f>
        <v>0.024179821094977308</v>
      </c>
      <c r="E8" s="158">
        <f>ROUND(16157103/100,0)*100</f>
        <v>16157100</v>
      </c>
      <c r="F8" s="109">
        <f aca="true" t="shared" si="1" ref="F8:F30">E8/$E$32</f>
        <v>0.025076379506623697</v>
      </c>
      <c r="G8" s="158">
        <f>ROUND(14500207/100,0)*100</f>
        <v>14500200</v>
      </c>
      <c r="H8" s="110">
        <f aca="true" t="shared" si="2" ref="H8:H30">G8/$G$32</f>
        <v>0.025273860286632997</v>
      </c>
      <c r="I8" s="111">
        <f aca="true" t="shared" si="3" ref="I8:I18">ROUND((549992800)*J8/100,0)*100</f>
        <v>13900400</v>
      </c>
      <c r="J8" s="112">
        <f>H8</f>
        <v>0.025273860286632997</v>
      </c>
      <c r="K8" s="113"/>
      <c r="L8" s="114">
        <f>I8-C8</f>
        <v>2476600</v>
      </c>
      <c r="M8" s="104"/>
      <c r="N8" s="100"/>
      <c r="O8" s="116"/>
    </row>
    <row r="9" spans="1:15" ht="15">
      <c r="A9" s="106"/>
      <c r="B9" s="100" t="s">
        <v>1</v>
      </c>
      <c r="C9" s="388">
        <v>3352100</v>
      </c>
      <c r="D9" s="108">
        <f t="shared" si="0"/>
        <v>0.007095115311233866</v>
      </c>
      <c r="E9" s="390">
        <f>ROUND(5046575/100,0)*100</f>
        <v>5046600</v>
      </c>
      <c r="F9" s="109">
        <f t="shared" si="1"/>
        <v>0.00783249820933999</v>
      </c>
      <c r="G9" s="391">
        <f>ROUND(5698100/100,0)*100</f>
        <v>5698100</v>
      </c>
      <c r="H9" s="110">
        <f t="shared" si="2"/>
        <v>0.009931792892461034</v>
      </c>
      <c r="I9" s="388">
        <f t="shared" si="3"/>
        <v>5462400</v>
      </c>
      <c r="J9" s="112">
        <f aca="true" t="shared" si="4" ref="J9:J30">H9</f>
        <v>0.009931792892461034</v>
      </c>
      <c r="K9" s="113"/>
      <c r="L9" s="117">
        <f aca="true" t="shared" si="5" ref="L9:L30">I9-C9</f>
        <v>2110300</v>
      </c>
      <c r="M9" s="104"/>
      <c r="N9" s="115"/>
      <c r="O9" s="116"/>
    </row>
    <row r="10" spans="1:15" ht="15">
      <c r="A10" s="106"/>
      <c r="B10" s="100" t="s">
        <v>45</v>
      </c>
      <c r="C10" s="388">
        <v>16348000</v>
      </c>
      <c r="D10" s="108">
        <f t="shared" si="0"/>
        <v>0.03460247161721047</v>
      </c>
      <c r="E10" s="390">
        <f>ROUND(23731705/100,0)*100</f>
        <v>23731700</v>
      </c>
      <c r="F10" s="109">
        <f t="shared" si="1"/>
        <v>0.036832421383623394</v>
      </c>
      <c r="G10" s="391">
        <f>ROUND(20790357/100,0)*100</f>
        <v>20790400</v>
      </c>
      <c r="H10" s="110">
        <f t="shared" si="2"/>
        <v>0.03623768395630506</v>
      </c>
      <c r="I10" s="388">
        <f t="shared" si="3"/>
        <v>19930500</v>
      </c>
      <c r="J10" s="112">
        <f t="shared" si="4"/>
        <v>0.03623768395630506</v>
      </c>
      <c r="K10" s="113"/>
      <c r="L10" s="117">
        <f t="shared" si="5"/>
        <v>3582500</v>
      </c>
      <c r="M10" s="104"/>
      <c r="N10" s="115"/>
      <c r="O10" s="116"/>
    </row>
    <row r="11" spans="1:15" ht="15">
      <c r="A11" s="106"/>
      <c r="B11" s="100" t="s">
        <v>46</v>
      </c>
      <c r="C11" s="389">
        <v>20905300</v>
      </c>
      <c r="D11" s="108">
        <f t="shared" si="0"/>
        <v>0.04424853498282788</v>
      </c>
      <c r="E11" s="390">
        <f>ROUND(28980086/100,0)*100</f>
        <v>28980100</v>
      </c>
      <c r="F11" s="109">
        <f t="shared" si="1"/>
        <v>0.04497812019111755</v>
      </c>
      <c r="G11" s="391">
        <f>ROUND(26500000/100,0)*100</f>
        <v>26500000</v>
      </c>
      <c r="H11" s="110">
        <f t="shared" si="2"/>
        <v>0.046189521358034676</v>
      </c>
      <c r="I11" s="388">
        <f t="shared" si="3"/>
        <v>25403900</v>
      </c>
      <c r="J11" s="112">
        <f>H11</f>
        <v>0.046189521358034676</v>
      </c>
      <c r="K11" s="113"/>
      <c r="L11" s="117">
        <f t="shared" si="5"/>
        <v>4498600</v>
      </c>
      <c r="M11" s="104"/>
      <c r="N11" s="115"/>
      <c r="O11" s="116"/>
    </row>
    <row r="12" spans="1:15" ht="15">
      <c r="A12" s="106"/>
      <c r="B12" s="100" t="s">
        <v>29</v>
      </c>
      <c r="C12" s="389">
        <v>15133700</v>
      </c>
      <c r="D12" s="108">
        <f t="shared" si="0"/>
        <v>0.032032262338718996</v>
      </c>
      <c r="E12" s="390">
        <f>ROUND(25011861/100,0)*100</f>
        <v>25011900</v>
      </c>
      <c r="F12" s="109">
        <f t="shared" si="1"/>
        <v>0.03881933617924759</v>
      </c>
      <c r="G12" s="391">
        <f>ROUND(20100125/100,0)*100</f>
        <v>20100100</v>
      </c>
      <c r="H12" s="110">
        <f t="shared" si="2"/>
        <v>0.03503449049994841</v>
      </c>
      <c r="I12" s="388">
        <f t="shared" si="3"/>
        <v>19268700</v>
      </c>
      <c r="J12" s="112">
        <f t="shared" si="4"/>
        <v>0.03503449049994841</v>
      </c>
      <c r="K12" s="113"/>
      <c r="L12" s="117">
        <f t="shared" si="5"/>
        <v>4135000</v>
      </c>
      <c r="M12" s="104"/>
      <c r="N12" s="115"/>
      <c r="O12" s="116"/>
    </row>
    <row r="13" spans="1:15" ht="15">
      <c r="A13" s="106"/>
      <c r="B13" s="100" t="s">
        <v>47</v>
      </c>
      <c r="C13" s="389">
        <v>27378900</v>
      </c>
      <c r="D13" s="108">
        <f t="shared" si="0"/>
        <v>0.05795067348669219</v>
      </c>
      <c r="E13" s="390">
        <f>ROUND(35121455/100,0)*100</f>
        <v>35121500</v>
      </c>
      <c r="F13" s="109">
        <f t="shared" si="1"/>
        <v>0.05450978596665764</v>
      </c>
      <c r="G13" s="391">
        <f>ROUND(32026756/100,0)*100</f>
        <v>32026800</v>
      </c>
      <c r="H13" s="110">
        <f t="shared" si="2"/>
        <v>0.05582273821243415</v>
      </c>
      <c r="I13" s="388">
        <f t="shared" si="3"/>
        <v>30702100</v>
      </c>
      <c r="J13" s="112">
        <f t="shared" si="4"/>
        <v>0.05582273821243415</v>
      </c>
      <c r="K13" s="113"/>
      <c r="L13" s="117">
        <f t="shared" si="5"/>
        <v>3323200</v>
      </c>
      <c r="M13" s="104"/>
      <c r="N13" s="115"/>
      <c r="O13" s="116"/>
    </row>
    <row r="14" spans="1:15" ht="15">
      <c r="A14" s="106"/>
      <c r="B14" s="100" t="s">
        <v>48</v>
      </c>
      <c r="C14" s="388">
        <v>34218100</v>
      </c>
      <c r="D14" s="108">
        <f t="shared" si="0"/>
        <v>0.07242664754372827</v>
      </c>
      <c r="E14" s="390">
        <f>ROUND(46197009/100,0)*100</f>
        <v>46197000</v>
      </c>
      <c r="F14" s="109">
        <f t="shared" si="1"/>
        <v>0.07169934605018814</v>
      </c>
      <c r="G14" s="391">
        <f>ROUND(412537,0)*100</f>
        <v>41253700</v>
      </c>
      <c r="H14" s="110">
        <f t="shared" si="2"/>
        <v>0.07190523234897944</v>
      </c>
      <c r="I14" s="388">
        <f t="shared" si="3"/>
        <v>39547400</v>
      </c>
      <c r="J14" s="112">
        <f t="shared" si="4"/>
        <v>0.07190523234897944</v>
      </c>
      <c r="K14" s="113"/>
      <c r="L14" s="117">
        <f t="shared" si="5"/>
        <v>5329300</v>
      </c>
      <c r="M14" s="104"/>
      <c r="N14" s="115"/>
      <c r="O14" s="116"/>
    </row>
    <row r="15" spans="1:15" ht="15">
      <c r="A15" s="106"/>
      <c r="B15" s="100" t="s">
        <v>49</v>
      </c>
      <c r="C15" s="388">
        <v>11867000</v>
      </c>
      <c r="D15" s="108">
        <f t="shared" si="0"/>
        <v>0.025117906207575036</v>
      </c>
      <c r="E15" s="390">
        <f>ROUND(13960341/100,0)*100</f>
        <v>13960300</v>
      </c>
      <c r="F15" s="109">
        <f t="shared" si="1"/>
        <v>0.021666869724537127</v>
      </c>
      <c r="G15" s="391">
        <f>ROUND(13780202/100,0)*100</f>
        <v>13780200</v>
      </c>
      <c r="H15" s="110">
        <f t="shared" si="2"/>
        <v>0.024018899706339223</v>
      </c>
      <c r="I15" s="388">
        <f t="shared" si="3"/>
        <v>13210200</v>
      </c>
      <c r="J15" s="112">
        <f t="shared" si="4"/>
        <v>0.024018899706339223</v>
      </c>
      <c r="K15" s="113"/>
      <c r="L15" s="117">
        <f t="shared" si="5"/>
        <v>1343200</v>
      </c>
      <c r="M15" s="104"/>
      <c r="N15" s="115"/>
      <c r="O15" s="116"/>
    </row>
    <row r="16" spans="1:15" ht="15">
      <c r="A16" s="106"/>
      <c r="B16" s="100" t="s">
        <v>50</v>
      </c>
      <c r="C16" s="388">
        <v>39551900</v>
      </c>
      <c r="D16" s="108">
        <f t="shared" si="0"/>
        <v>0.08371626481262215</v>
      </c>
      <c r="E16" s="390">
        <f>ROUND(50506976/100,0)*100</f>
        <v>50507000</v>
      </c>
      <c r="F16" s="109">
        <f t="shared" si="1"/>
        <v>0.07838861551522507</v>
      </c>
      <c r="G16" s="391">
        <f>ROUND(46300314/100,0)*100</f>
        <v>46300300</v>
      </c>
      <c r="H16" s="110">
        <f t="shared" si="2"/>
        <v>0.0807014602163552</v>
      </c>
      <c r="I16" s="388">
        <f t="shared" si="3"/>
        <v>44385200</v>
      </c>
      <c r="J16" s="112">
        <f t="shared" si="4"/>
        <v>0.0807014602163552</v>
      </c>
      <c r="K16" s="113"/>
      <c r="L16" s="117">
        <f t="shared" si="5"/>
        <v>4833300</v>
      </c>
      <c r="M16" s="104"/>
      <c r="N16" s="115"/>
      <c r="O16" s="116"/>
    </row>
    <row r="17" spans="1:15" ht="15">
      <c r="A17" s="106"/>
      <c r="B17" s="100" t="s">
        <v>51</v>
      </c>
      <c r="C17" s="389">
        <v>32857800</v>
      </c>
      <c r="D17" s="108">
        <f t="shared" si="0"/>
        <v>0.06954741203229621</v>
      </c>
      <c r="E17" s="390">
        <f>ROUND(46720412/100,0)*100</f>
        <v>46720400</v>
      </c>
      <c r="F17" s="109">
        <f t="shared" si="1"/>
        <v>0.07251168100100029</v>
      </c>
      <c r="G17" s="391">
        <f>ROUND(38808358/100,0)*100</f>
        <v>38808400</v>
      </c>
      <c r="H17" s="110">
        <f t="shared" si="2"/>
        <v>0.06764307247815671</v>
      </c>
      <c r="I17" s="388">
        <f t="shared" si="3"/>
        <v>37203200</v>
      </c>
      <c r="J17" s="112">
        <f t="shared" si="4"/>
        <v>0.06764307247815671</v>
      </c>
      <c r="K17" s="113"/>
      <c r="L17" s="117">
        <f t="shared" si="5"/>
        <v>4345400</v>
      </c>
      <c r="M17" s="104"/>
      <c r="N17" s="115"/>
      <c r="O17" s="116"/>
    </row>
    <row r="18" spans="1:15" ht="15">
      <c r="A18" s="106"/>
      <c r="B18" s="100" t="s">
        <v>9</v>
      </c>
      <c r="C18" s="389">
        <v>863400</v>
      </c>
      <c r="D18" s="108">
        <f t="shared" si="0"/>
        <v>0.0018274880104171473</v>
      </c>
      <c r="E18" s="390">
        <f>ROUND(1318849/100,0)*100</f>
        <v>1318800</v>
      </c>
      <c r="F18" s="109">
        <f t="shared" si="1"/>
        <v>0.0020468233342205797</v>
      </c>
      <c r="G18" s="391">
        <f>ROUND(1502391/100,0)*100</f>
        <v>1502400</v>
      </c>
      <c r="H18" s="110">
        <f t="shared" si="2"/>
        <v>0.0026186844108796715</v>
      </c>
      <c r="I18" s="388">
        <f t="shared" si="3"/>
        <v>1440300</v>
      </c>
      <c r="J18" s="112">
        <f t="shared" si="4"/>
        <v>0.0026186844108796715</v>
      </c>
      <c r="K18" s="113"/>
      <c r="L18" s="117">
        <f t="shared" si="5"/>
        <v>576900</v>
      </c>
      <c r="M18" s="104"/>
      <c r="N18" s="115"/>
      <c r="O18" s="116"/>
    </row>
    <row r="19" spans="1:15" ht="15">
      <c r="A19" s="106"/>
      <c r="B19" s="100" t="s">
        <v>10</v>
      </c>
      <c r="C19" s="389">
        <v>5139800</v>
      </c>
      <c r="D19" s="108">
        <f t="shared" si="0"/>
        <v>0.010878993370328995</v>
      </c>
      <c r="E19" s="390">
        <f>ROUND(6892350/100,0)*100</f>
        <v>6892400</v>
      </c>
      <c r="F19" s="109">
        <f t="shared" si="1"/>
        <v>0.010697243819215897</v>
      </c>
      <c r="G19" s="391">
        <f>ROUND(8228367/100,0)*100</f>
        <v>8228400</v>
      </c>
      <c r="H19" s="110">
        <f t="shared" si="2"/>
        <v>0.014342107831790662</v>
      </c>
      <c r="I19" s="388">
        <f aca="true" t="shared" si="6" ref="I19:I30">ROUND((549992800)*J19/100,0)*100</f>
        <v>7888100</v>
      </c>
      <c r="J19" s="112">
        <f t="shared" si="4"/>
        <v>0.014342107831790662</v>
      </c>
      <c r="K19" s="113"/>
      <c r="L19" s="117">
        <f t="shared" si="5"/>
        <v>2748300</v>
      </c>
      <c r="M19" s="104"/>
      <c r="N19" s="115"/>
      <c r="O19" s="116"/>
    </row>
    <row r="20" spans="1:15" ht="15">
      <c r="A20" s="106"/>
      <c r="B20" s="100" t="s">
        <v>52</v>
      </c>
      <c r="C20" s="389">
        <v>40451300</v>
      </c>
      <c r="D20" s="108">
        <f t="shared" si="0"/>
        <v>0.08561995107225753</v>
      </c>
      <c r="E20" s="390">
        <f>ROUND(54422197/100,0)*100</f>
        <v>54422200</v>
      </c>
      <c r="F20" s="109">
        <f t="shared" si="1"/>
        <v>0.0844651416891259</v>
      </c>
      <c r="G20" s="391">
        <f>ROUND(48497825/100,0)*100</f>
        <v>48497800</v>
      </c>
      <c r="H20" s="110">
        <f t="shared" si="2"/>
        <v>0.08453170448746015</v>
      </c>
      <c r="I20" s="388">
        <f t="shared" si="6"/>
        <v>46491800</v>
      </c>
      <c r="J20" s="112">
        <f t="shared" si="4"/>
        <v>0.08453170448746015</v>
      </c>
      <c r="K20" s="113"/>
      <c r="L20" s="117">
        <f t="shared" si="5"/>
        <v>6040500</v>
      </c>
      <c r="M20" s="104"/>
      <c r="N20" s="115"/>
      <c r="O20" s="116"/>
    </row>
    <row r="21" spans="1:15" ht="15">
      <c r="A21" s="106"/>
      <c r="B21" s="100" t="s">
        <v>53</v>
      </c>
      <c r="C21" s="389">
        <v>23132700</v>
      </c>
      <c r="D21" s="108">
        <f t="shared" si="0"/>
        <v>0.048963089991402295</v>
      </c>
      <c r="E21" s="390">
        <f>ROUND(32264958/100,0)*100</f>
        <v>32265000</v>
      </c>
      <c r="F21" s="109">
        <f t="shared" si="1"/>
        <v>0.05007639890705718</v>
      </c>
      <c r="G21" s="391">
        <f>ROUND(28601000/100,0)*100</f>
        <v>28601000</v>
      </c>
      <c r="H21" s="110">
        <f t="shared" si="2"/>
        <v>0.04985156605136414</v>
      </c>
      <c r="I21" s="388">
        <f t="shared" si="6"/>
        <v>27418000</v>
      </c>
      <c r="J21" s="112">
        <f t="shared" si="4"/>
        <v>0.04985156605136414</v>
      </c>
      <c r="K21" s="113"/>
      <c r="L21" s="117">
        <f t="shared" si="5"/>
        <v>4285300</v>
      </c>
      <c r="M21" s="104"/>
      <c r="N21" s="115"/>
      <c r="O21" s="116"/>
    </row>
    <row r="22" spans="1:15" ht="15">
      <c r="A22" s="106"/>
      <c r="B22" s="100" t="s">
        <v>54</v>
      </c>
      <c r="C22" s="389">
        <v>31134600</v>
      </c>
      <c r="D22" s="108">
        <f t="shared" si="0"/>
        <v>0.06590005583638374</v>
      </c>
      <c r="E22" s="390">
        <f>ROUND(43406108/100,0)*100</f>
        <v>43406100</v>
      </c>
      <c r="F22" s="109">
        <f t="shared" si="1"/>
        <v>0.06736777246550797</v>
      </c>
      <c r="G22" s="391">
        <f>ROUND(37850492/100,0)*100</f>
        <v>37850500</v>
      </c>
      <c r="H22" s="110">
        <f t="shared" si="2"/>
        <v>0.06597345200612421</v>
      </c>
      <c r="I22" s="388">
        <f t="shared" si="6"/>
        <v>36284900</v>
      </c>
      <c r="J22" s="112">
        <f t="shared" si="4"/>
        <v>0.06597345200612421</v>
      </c>
      <c r="K22" s="113"/>
      <c r="L22" s="117">
        <f t="shared" si="5"/>
        <v>5150300</v>
      </c>
      <c r="M22" s="104"/>
      <c r="N22" s="115"/>
      <c r="O22" s="116"/>
    </row>
    <row r="23" spans="1:15" ht="15">
      <c r="A23" s="106"/>
      <c r="B23" s="100" t="s">
        <v>55</v>
      </c>
      <c r="C23" s="389">
        <v>26941700</v>
      </c>
      <c r="D23" s="108">
        <f t="shared" si="0"/>
        <v>0.057025288082297496</v>
      </c>
      <c r="E23" s="390">
        <f>ROUND(33960229/100,0)*100</f>
        <v>33960200</v>
      </c>
      <c r="F23" s="109">
        <f t="shared" si="1"/>
        <v>0.05270740809432646</v>
      </c>
      <c r="G23" s="391">
        <f>ROUND(31300342/100,0)*100</f>
        <v>31300300</v>
      </c>
      <c r="H23" s="110">
        <f t="shared" si="2"/>
        <v>0.054556448126901615</v>
      </c>
      <c r="I23" s="388">
        <f>ROUND((549992800)*J23/100,0)*100-100</f>
        <v>30005600</v>
      </c>
      <c r="J23" s="112">
        <f t="shared" si="4"/>
        <v>0.054556448126901615</v>
      </c>
      <c r="K23" s="113"/>
      <c r="L23" s="117">
        <f t="shared" si="5"/>
        <v>3063900</v>
      </c>
      <c r="M23" s="104"/>
      <c r="N23" s="115"/>
      <c r="O23" s="116"/>
    </row>
    <row r="24" spans="1:15" ht="15">
      <c r="A24" s="106"/>
      <c r="B24" s="100" t="s">
        <v>56</v>
      </c>
      <c r="C24" s="389">
        <v>31782500</v>
      </c>
      <c r="D24" s="108">
        <f t="shared" si="0"/>
        <v>0.06727141266050844</v>
      </c>
      <c r="E24" s="390">
        <f>ROUND(45167923/100,0)*100</f>
        <v>45167900</v>
      </c>
      <c r="F24" s="109">
        <f>E24/$E$32</f>
        <v>0.0701021471623762</v>
      </c>
      <c r="G24" s="391">
        <f>ROUND(36982626/100,0)*100</f>
        <v>36982600</v>
      </c>
      <c r="H24" s="110">
        <f t="shared" si="2"/>
        <v>0.06446070160662842</v>
      </c>
      <c r="I24" s="388">
        <f t="shared" si="6"/>
        <v>35452900</v>
      </c>
      <c r="J24" s="112">
        <f t="shared" si="4"/>
        <v>0.06446070160662842</v>
      </c>
      <c r="K24" s="113"/>
      <c r="L24" s="117">
        <f t="shared" si="5"/>
        <v>3670400</v>
      </c>
      <c r="M24" s="104"/>
      <c r="N24" s="115"/>
      <c r="O24" s="116"/>
    </row>
    <row r="25" spans="1:15" ht="15">
      <c r="A25" s="106"/>
      <c r="B25" s="100" t="s">
        <v>57</v>
      </c>
      <c r="C25" s="389">
        <v>34165400</v>
      </c>
      <c r="D25" s="108">
        <f t="shared" si="0"/>
        <v>0.07231510177334492</v>
      </c>
      <c r="E25" s="390">
        <f>ROUND(45914622/100,0)*100</f>
        <v>45914600</v>
      </c>
      <c r="F25" s="109">
        <f>E25/$E$32</f>
        <v>0.07126105145693376</v>
      </c>
      <c r="G25" s="391">
        <f>ROUND(40100000/100,0)*100</f>
        <v>40100000</v>
      </c>
      <c r="H25" s="110">
        <f>G25/$G$32</f>
        <v>0.06989433231913926</v>
      </c>
      <c r="I25" s="388">
        <f t="shared" si="6"/>
        <v>38441400</v>
      </c>
      <c r="J25" s="112">
        <f t="shared" si="4"/>
        <v>0.06989433231913926</v>
      </c>
      <c r="K25" s="113"/>
      <c r="L25" s="117">
        <f t="shared" si="5"/>
        <v>4276000</v>
      </c>
      <c r="M25" s="104"/>
      <c r="N25" s="115"/>
      <c r="O25" s="116"/>
    </row>
    <row r="26" spans="1:15" ht="15">
      <c r="A26" s="106"/>
      <c r="B26" s="100" t="s">
        <v>58</v>
      </c>
      <c r="C26" s="389">
        <v>26672500</v>
      </c>
      <c r="D26" s="108">
        <f t="shared" si="0"/>
        <v>0.05645549450758786</v>
      </c>
      <c r="E26" s="390">
        <f>ROUND(36432989/100,0)*100</f>
        <v>36433000</v>
      </c>
      <c r="F26" s="109">
        <f t="shared" si="1"/>
        <v>0.05654527944772398</v>
      </c>
      <c r="G26" s="391">
        <f>ROUND(32000652/100,0)*100</f>
        <v>32000700</v>
      </c>
      <c r="H26" s="110">
        <f t="shared" si="2"/>
        <v>0.0557772458913985</v>
      </c>
      <c r="I26" s="388">
        <f t="shared" si="6"/>
        <v>30677100</v>
      </c>
      <c r="J26" s="112">
        <f t="shared" si="4"/>
        <v>0.0557772458913985</v>
      </c>
      <c r="K26" s="113"/>
      <c r="L26" s="117">
        <f t="shared" si="5"/>
        <v>4004600</v>
      </c>
      <c r="M26" s="104"/>
      <c r="N26" s="115"/>
      <c r="O26" s="116"/>
    </row>
    <row r="27" spans="1:15" ht="15">
      <c r="A27" s="106"/>
      <c r="B27" s="100" t="s">
        <v>59</v>
      </c>
      <c r="C27" s="389">
        <v>11431500</v>
      </c>
      <c r="D27" s="108">
        <f t="shared" si="0"/>
        <v>0.024196119053837874</v>
      </c>
      <c r="E27" s="390">
        <f>ROUND(15402410/100,0)*100</f>
        <v>15402400</v>
      </c>
      <c r="F27" s="109">
        <f t="shared" si="1"/>
        <v>0.023905058934636837</v>
      </c>
      <c r="G27" s="391">
        <f>ROUND(13459925/100,0)*100</f>
        <v>13459900</v>
      </c>
      <c r="H27" s="110">
        <f t="shared" si="2"/>
        <v>0.02346061654818909</v>
      </c>
      <c r="I27" s="388">
        <f t="shared" si="6"/>
        <v>12903200</v>
      </c>
      <c r="J27" s="112">
        <f t="shared" si="4"/>
        <v>0.02346061654818909</v>
      </c>
      <c r="K27" s="113"/>
      <c r="L27" s="117">
        <f t="shared" si="5"/>
        <v>1471700</v>
      </c>
      <c r="M27" s="104"/>
      <c r="N27" s="115"/>
      <c r="O27" s="116"/>
    </row>
    <row r="28" spans="1:15" ht="15">
      <c r="A28" s="106"/>
      <c r="B28" s="100" t="s">
        <v>60</v>
      </c>
      <c r="C28" s="389">
        <v>9569600</v>
      </c>
      <c r="D28" s="108">
        <f t="shared" si="0"/>
        <v>0.020255187936631842</v>
      </c>
      <c r="E28" s="390">
        <f>ROUND(13843981/100,0)*100</f>
        <v>13844000</v>
      </c>
      <c r="F28" s="109">
        <f t="shared" si="1"/>
        <v>0.021486368091408633</v>
      </c>
      <c r="G28" s="391">
        <f>ROUND(131000,0)*100</f>
        <v>13100000</v>
      </c>
      <c r="H28" s="110">
        <f t="shared" si="2"/>
        <v>0.0228333105581228</v>
      </c>
      <c r="I28" s="388">
        <f t="shared" si="6"/>
        <v>12558200</v>
      </c>
      <c r="J28" s="112">
        <f t="shared" si="4"/>
        <v>0.0228333105581228</v>
      </c>
      <c r="K28" s="113"/>
      <c r="L28" s="117">
        <f t="shared" si="5"/>
        <v>2988600</v>
      </c>
      <c r="M28" s="104"/>
      <c r="N28" s="115"/>
      <c r="O28" s="116"/>
    </row>
    <row r="29" spans="1:15" ht="15">
      <c r="A29" s="106"/>
      <c r="B29" s="100" t="s">
        <v>61</v>
      </c>
      <c r="C29" s="389">
        <v>6548700</v>
      </c>
      <c r="D29" s="108">
        <f t="shared" si="0"/>
        <v>0.013861096518205667</v>
      </c>
      <c r="E29" s="390">
        <f>ROUND(8999477/100,0)*100</f>
        <v>8999500</v>
      </c>
      <c r="F29" s="109">
        <f t="shared" si="1"/>
        <v>0.013967536090626408</v>
      </c>
      <c r="G29" s="391">
        <f>ROUND(8841066/100,0)*100</f>
        <v>8841100</v>
      </c>
      <c r="H29" s="110">
        <f t="shared" si="2"/>
        <v>0.015410044425604542</v>
      </c>
      <c r="I29" s="388">
        <f t="shared" si="6"/>
        <v>8475400</v>
      </c>
      <c r="J29" s="112">
        <f t="shared" si="4"/>
        <v>0.015410044425604542</v>
      </c>
      <c r="K29" s="113"/>
      <c r="L29" s="117">
        <f t="shared" si="5"/>
        <v>1926700</v>
      </c>
      <c r="M29" s="104"/>
      <c r="N29" s="115"/>
      <c r="O29" s="116"/>
    </row>
    <row r="30" spans="1:15" ht="15">
      <c r="A30" s="106"/>
      <c r="B30" s="100" t="s">
        <v>62</v>
      </c>
      <c r="C30" s="389">
        <v>11581500</v>
      </c>
      <c r="D30" s="108">
        <f t="shared" si="0"/>
        <v>0.02451361175891382</v>
      </c>
      <c r="E30" s="390">
        <f>ROUND(14855789/100,0)*100</f>
        <v>14855800</v>
      </c>
      <c r="F30" s="109">
        <f t="shared" si="1"/>
        <v>0.023056716779279715</v>
      </c>
      <c r="G30" s="391">
        <f>ROUND(13500343/100,0)*100</f>
        <v>13500300</v>
      </c>
      <c r="H30" s="110">
        <f t="shared" si="2"/>
        <v>0.02353103378075002</v>
      </c>
      <c r="I30" s="388">
        <f t="shared" si="6"/>
        <v>12941900</v>
      </c>
      <c r="J30" s="112">
        <f t="shared" si="4"/>
        <v>0.02353103378075002</v>
      </c>
      <c r="K30" s="113"/>
      <c r="L30" s="117">
        <f t="shared" si="5"/>
        <v>1360400</v>
      </c>
      <c r="M30" s="104"/>
      <c r="N30" s="115"/>
      <c r="O30" s="116"/>
    </row>
    <row r="31" spans="1:15" ht="15">
      <c r="A31" s="106"/>
      <c r="B31" s="100"/>
      <c r="C31" s="121"/>
      <c r="D31" s="119"/>
      <c r="E31" s="105"/>
      <c r="F31" s="120"/>
      <c r="G31" s="105"/>
      <c r="H31" s="118"/>
      <c r="I31" s="121"/>
      <c r="J31" s="122"/>
      <c r="K31" s="123"/>
      <c r="L31" s="117"/>
      <c r="M31" s="104"/>
      <c r="N31" s="115"/>
      <c r="O31" s="115"/>
    </row>
    <row r="32" spans="1:15" ht="15">
      <c r="A32" s="124"/>
      <c r="B32" s="125" t="s">
        <v>22</v>
      </c>
      <c r="C32" s="127">
        <f aca="true" t="shared" si="7" ref="C32:J32">SUM(C8:C30)</f>
        <v>472451800</v>
      </c>
      <c r="D32" s="126">
        <f t="shared" si="7"/>
        <v>1</v>
      </c>
      <c r="E32" s="127">
        <f t="shared" si="7"/>
        <v>644315500</v>
      </c>
      <c r="F32" s="128">
        <f t="shared" si="7"/>
        <v>0.9999999999999999</v>
      </c>
      <c r="G32" s="127">
        <f t="shared" si="7"/>
        <v>573723200</v>
      </c>
      <c r="H32" s="126">
        <f t="shared" si="7"/>
        <v>1</v>
      </c>
      <c r="I32" s="127">
        <f>SUM(I8:I31)</f>
        <v>549992800</v>
      </c>
      <c r="J32" s="126">
        <f t="shared" si="7"/>
        <v>1</v>
      </c>
      <c r="K32" s="129"/>
      <c r="L32" s="130">
        <f>SUM(L8:L31)</f>
        <v>77541000</v>
      </c>
      <c r="M32" s="131"/>
      <c r="N32" s="133"/>
      <c r="O32" s="132"/>
    </row>
    <row r="33" spans="3:15" ht="12.75">
      <c r="C33" s="134"/>
      <c r="D33" s="134"/>
      <c r="E33" s="134"/>
      <c r="F33" s="135"/>
      <c r="G33" s="134"/>
      <c r="H33" s="134"/>
      <c r="I33" s="133"/>
      <c r="J33" s="134"/>
      <c r="K33" s="134"/>
      <c r="L33" s="134"/>
      <c r="M33" s="133"/>
      <c r="O33" s="265"/>
    </row>
    <row r="34" spans="1:15" ht="15.75">
      <c r="A34" s="136"/>
      <c r="B34" s="422" t="s">
        <v>88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O34" s="265"/>
    </row>
    <row r="35" spans="9:15" ht="12.75">
      <c r="I35" s="137"/>
      <c r="J35" s="137"/>
      <c r="K35" s="137"/>
      <c r="L35" s="137"/>
      <c r="O35" s="265"/>
    </row>
    <row r="36" spans="3:9" ht="12.75">
      <c r="C36" s="393"/>
      <c r="I36" s="137"/>
    </row>
    <row r="37" ht="12.75">
      <c r="C37" s="137"/>
    </row>
  </sheetData>
  <sheetProtection/>
  <mergeCells count="5">
    <mergeCell ref="E4:M4"/>
    <mergeCell ref="E5:F5"/>
    <mergeCell ref="I5:J5"/>
    <mergeCell ref="K5:M5"/>
    <mergeCell ref="B34:M34"/>
  </mergeCells>
  <printOptions/>
  <pageMargins left="0.5" right="0.5" top="0.5" bottom="0.5" header="0.5" footer="0.5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33203125" defaultRowHeight="12.75"/>
  <cols>
    <col min="1" max="1" width="36.16015625" style="64" customWidth="1"/>
    <col min="2" max="2" width="14.66015625" style="64" bestFit="1" customWidth="1"/>
    <col min="3" max="3" width="31.16015625" style="65" customWidth="1"/>
    <col min="4" max="4" width="14.5" style="64" bestFit="1" customWidth="1"/>
    <col min="5" max="5" width="3.16015625" style="64" customWidth="1"/>
    <col min="6" max="6" width="14.5" style="64" bestFit="1" customWidth="1"/>
    <col min="7" max="7" width="3.16015625" style="64" customWidth="1"/>
    <col min="8" max="8" width="14.5" style="64" bestFit="1" customWidth="1"/>
    <col min="9" max="9" width="3.5" style="64" customWidth="1"/>
    <col min="10" max="10" width="14.5" style="65" bestFit="1" customWidth="1"/>
    <col min="11" max="11" width="9.33203125" style="64" customWidth="1"/>
    <col min="12" max="12" width="17" style="64" bestFit="1" customWidth="1"/>
    <col min="13" max="13" width="15.83203125" style="64" bestFit="1" customWidth="1"/>
    <col min="14" max="14" width="17" style="64" bestFit="1" customWidth="1"/>
    <col min="15" max="16384" width="9.33203125" style="64" customWidth="1"/>
  </cols>
  <sheetData>
    <row r="1" ht="16.5">
      <c r="A1" s="63" t="s">
        <v>72</v>
      </c>
    </row>
    <row r="2" ht="15.75">
      <c r="A2" s="66" t="s">
        <v>73</v>
      </c>
    </row>
    <row r="3" ht="15.75">
      <c r="A3" s="80"/>
    </row>
    <row r="4" spans="1:10" s="65" customFormat="1" ht="21" customHeight="1">
      <c r="A4" s="67"/>
      <c r="B4" s="68"/>
      <c r="C4" s="67"/>
      <c r="D4" s="424" t="s">
        <v>33</v>
      </c>
      <c r="E4" s="424"/>
      <c r="F4" s="424"/>
      <c r="G4" s="424"/>
      <c r="H4" s="424"/>
      <c r="I4" s="424"/>
      <c r="J4" s="424"/>
    </row>
    <row r="5" spans="1:10" s="70" customFormat="1" ht="50.25">
      <c r="A5" s="69" t="s">
        <v>34</v>
      </c>
      <c r="B5" s="155" t="s">
        <v>35</v>
      </c>
      <c r="C5" s="69"/>
      <c r="D5" s="84">
        <v>40360</v>
      </c>
      <c r="E5" s="84"/>
      <c r="F5" s="84">
        <v>40452</v>
      </c>
      <c r="G5" s="84"/>
      <c r="H5" s="84">
        <v>40544</v>
      </c>
      <c r="I5" s="84"/>
      <c r="J5" s="84">
        <v>40634</v>
      </c>
    </row>
    <row r="6" spans="1:9" ht="15.75">
      <c r="A6" s="71"/>
      <c r="B6" s="156"/>
      <c r="D6" s="65"/>
      <c r="E6" s="65"/>
      <c r="F6" s="65"/>
      <c r="G6" s="65"/>
      <c r="H6" s="65"/>
      <c r="I6" s="65"/>
    </row>
    <row r="7" spans="1:10" ht="15.75">
      <c r="A7" s="72" t="s">
        <v>0</v>
      </c>
      <c r="B7" s="250">
        <v>60100</v>
      </c>
      <c r="C7" s="72"/>
      <c r="D7" s="72">
        <f>ROUND(B7/4,2)</f>
        <v>15025</v>
      </c>
      <c r="E7" s="72"/>
      <c r="F7" s="72">
        <f aca="true" t="shared" si="0" ref="F7:F29">D7</f>
        <v>15025</v>
      </c>
      <c r="G7" s="72"/>
      <c r="H7" s="72">
        <f aca="true" t="shared" si="1" ref="H7:H29">F7</f>
        <v>15025</v>
      </c>
      <c r="I7" s="72"/>
      <c r="J7" s="72">
        <f aca="true" t="shared" si="2" ref="J7:J29">H7</f>
        <v>15025</v>
      </c>
    </row>
    <row r="8" spans="1:10" ht="15.75">
      <c r="A8" s="73" t="s">
        <v>1</v>
      </c>
      <c r="B8" s="251">
        <v>31100</v>
      </c>
      <c r="C8" s="74"/>
      <c r="D8" s="74">
        <f aca="true" t="shared" si="3" ref="D8:D29">ROUND(B8/4,2)</f>
        <v>7775</v>
      </c>
      <c r="E8" s="74"/>
      <c r="F8" s="74">
        <f t="shared" si="0"/>
        <v>7775</v>
      </c>
      <c r="G8" s="74"/>
      <c r="H8" s="74">
        <f t="shared" si="1"/>
        <v>7775</v>
      </c>
      <c r="I8" s="74"/>
      <c r="J8" s="74">
        <f t="shared" si="2"/>
        <v>7775</v>
      </c>
    </row>
    <row r="9" spans="1:10" ht="15.75">
      <c r="A9" s="73" t="s">
        <v>2</v>
      </c>
      <c r="B9" s="251">
        <v>129300</v>
      </c>
      <c r="C9" s="74"/>
      <c r="D9" s="74">
        <f t="shared" si="3"/>
        <v>32325</v>
      </c>
      <c r="E9" s="74"/>
      <c r="F9" s="74">
        <f t="shared" si="0"/>
        <v>32325</v>
      </c>
      <c r="G9" s="74"/>
      <c r="H9" s="74">
        <f t="shared" si="1"/>
        <v>32325</v>
      </c>
      <c r="I9" s="74"/>
      <c r="J9" s="74">
        <f t="shared" si="2"/>
        <v>32325</v>
      </c>
    </row>
    <row r="10" spans="1:10" ht="15.75">
      <c r="A10" s="73" t="s">
        <v>3</v>
      </c>
      <c r="B10" s="251">
        <v>95700</v>
      </c>
      <c r="C10" s="74"/>
      <c r="D10" s="74">
        <f t="shared" si="3"/>
        <v>23925</v>
      </c>
      <c r="E10" s="74"/>
      <c r="F10" s="74">
        <f t="shared" si="0"/>
        <v>23925</v>
      </c>
      <c r="G10" s="74"/>
      <c r="H10" s="74">
        <f t="shared" si="1"/>
        <v>23925</v>
      </c>
      <c r="I10" s="74"/>
      <c r="J10" s="74">
        <f t="shared" si="2"/>
        <v>23925</v>
      </c>
    </row>
    <row r="11" spans="1:10" ht="15.75">
      <c r="A11" s="73" t="s">
        <v>29</v>
      </c>
      <c r="B11" s="251">
        <v>140000</v>
      </c>
      <c r="C11" s="74"/>
      <c r="D11" s="74">
        <f t="shared" si="3"/>
        <v>35000</v>
      </c>
      <c r="E11" s="74"/>
      <c r="F11" s="74">
        <f t="shared" si="0"/>
        <v>35000</v>
      </c>
      <c r="G11" s="74"/>
      <c r="H11" s="74">
        <f t="shared" si="1"/>
        <v>35000</v>
      </c>
      <c r="I11" s="74"/>
      <c r="J11" s="74">
        <f t="shared" si="2"/>
        <v>35000</v>
      </c>
    </row>
    <row r="12" spans="1:10" ht="15.75">
      <c r="A12" s="73" t="s">
        <v>4</v>
      </c>
      <c r="B12" s="251">
        <v>169600</v>
      </c>
      <c r="C12" s="74"/>
      <c r="D12" s="74">
        <f t="shared" si="3"/>
        <v>42400</v>
      </c>
      <c r="E12" s="74"/>
      <c r="F12" s="74">
        <f t="shared" si="0"/>
        <v>42400</v>
      </c>
      <c r="G12" s="74"/>
      <c r="H12" s="74">
        <f t="shared" si="1"/>
        <v>42400</v>
      </c>
      <c r="I12" s="74"/>
      <c r="J12" s="74">
        <f t="shared" si="2"/>
        <v>42400</v>
      </c>
    </row>
    <row r="13" spans="1:10" ht="15.75">
      <c r="A13" s="73" t="s">
        <v>5</v>
      </c>
      <c r="B13" s="251">
        <v>290400</v>
      </c>
      <c r="C13" s="74"/>
      <c r="D13" s="74">
        <f t="shared" si="3"/>
        <v>72600</v>
      </c>
      <c r="E13" s="74"/>
      <c r="F13" s="74">
        <f t="shared" si="0"/>
        <v>72600</v>
      </c>
      <c r="G13" s="74"/>
      <c r="H13" s="74">
        <f t="shared" si="1"/>
        <v>72600</v>
      </c>
      <c r="I13" s="74"/>
      <c r="J13" s="74">
        <f t="shared" si="2"/>
        <v>72600</v>
      </c>
    </row>
    <row r="14" spans="1:10" ht="15.75">
      <c r="A14" s="73" t="s">
        <v>6</v>
      </c>
      <c r="B14" s="251">
        <v>69200</v>
      </c>
      <c r="C14" s="74"/>
      <c r="D14" s="74">
        <f t="shared" si="3"/>
        <v>17300</v>
      </c>
      <c r="E14" s="74"/>
      <c r="F14" s="74">
        <f t="shared" si="0"/>
        <v>17300</v>
      </c>
      <c r="G14" s="74"/>
      <c r="H14" s="74">
        <f t="shared" si="1"/>
        <v>17300</v>
      </c>
      <c r="I14" s="74"/>
      <c r="J14" s="74">
        <f t="shared" si="2"/>
        <v>17300</v>
      </c>
    </row>
    <row r="15" spans="1:10" ht="15.75">
      <c r="A15" s="73" t="s">
        <v>7</v>
      </c>
      <c r="B15" s="251">
        <v>293500</v>
      </c>
      <c r="C15" s="74"/>
      <c r="D15" s="74">
        <f t="shared" si="3"/>
        <v>73375</v>
      </c>
      <c r="E15" s="74"/>
      <c r="F15" s="74">
        <f t="shared" si="0"/>
        <v>73375</v>
      </c>
      <c r="G15" s="74"/>
      <c r="H15" s="74">
        <f t="shared" si="1"/>
        <v>73375</v>
      </c>
      <c r="I15" s="74"/>
      <c r="J15" s="74">
        <f t="shared" si="2"/>
        <v>73375</v>
      </c>
    </row>
    <row r="16" spans="1:10" ht="15.75">
      <c r="A16" s="73" t="s">
        <v>8</v>
      </c>
      <c r="B16" s="251">
        <v>174100</v>
      </c>
      <c r="C16" s="74"/>
      <c r="D16" s="74">
        <f t="shared" si="3"/>
        <v>43525</v>
      </c>
      <c r="E16" s="74"/>
      <c r="F16" s="74">
        <f t="shared" si="0"/>
        <v>43525</v>
      </c>
      <c r="G16" s="74"/>
      <c r="H16" s="74">
        <f t="shared" si="1"/>
        <v>43525</v>
      </c>
      <c r="I16" s="74"/>
      <c r="J16" s="74">
        <f t="shared" si="2"/>
        <v>43525</v>
      </c>
    </row>
    <row r="17" spans="1:10" ht="15.75">
      <c r="A17" s="73" t="s">
        <v>9</v>
      </c>
      <c r="B17" s="251">
        <v>11000</v>
      </c>
      <c r="C17" s="74"/>
      <c r="D17" s="74">
        <f t="shared" si="3"/>
        <v>2750</v>
      </c>
      <c r="E17" s="74"/>
      <c r="F17" s="74">
        <f t="shared" si="0"/>
        <v>2750</v>
      </c>
      <c r="G17" s="74"/>
      <c r="H17" s="74">
        <f t="shared" si="1"/>
        <v>2750</v>
      </c>
      <c r="I17" s="74"/>
      <c r="J17" s="74">
        <f t="shared" si="2"/>
        <v>2750</v>
      </c>
    </row>
    <row r="18" spans="1:10" ht="15.75">
      <c r="A18" s="73" t="s">
        <v>10</v>
      </c>
      <c r="B18" s="251">
        <v>33900</v>
      </c>
      <c r="C18" s="74"/>
      <c r="D18" s="74">
        <f t="shared" si="3"/>
        <v>8475</v>
      </c>
      <c r="E18" s="74"/>
      <c r="F18" s="74">
        <f t="shared" si="0"/>
        <v>8475</v>
      </c>
      <c r="G18" s="74"/>
      <c r="H18" s="74">
        <f t="shared" si="1"/>
        <v>8475</v>
      </c>
      <c r="I18" s="74"/>
      <c r="J18" s="74">
        <f t="shared" si="2"/>
        <v>8475</v>
      </c>
    </row>
    <row r="19" spans="1:10" ht="15.75">
      <c r="A19" s="73" t="s">
        <v>11</v>
      </c>
      <c r="B19" s="251">
        <v>303000</v>
      </c>
      <c r="C19" s="74"/>
      <c r="D19" s="74">
        <f t="shared" si="3"/>
        <v>75750</v>
      </c>
      <c r="E19" s="74"/>
      <c r="F19" s="74">
        <f t="shared" si="0"/>
        <v>75750</v>
      </c>
      <c r="G19" s="74"/>
      <c r="H19" s="74">
        <f t="shared" si="1"/>
        <v>75750</v>
      </c>
      <c r="I19" s="74"/>
      <c r="J19" s="74">
        <f t="shared" si="2"/>
        <v>75750</v>
      </c>
    </row>
    <row r="20" spans="1:10" ht="15.75">
      <c r="A20" s="73" t="s">
        <v>12</v>
      </c>
      <c r="B20" s="251">
        <v>162900</v>
      </c>
      <c r="C20" s="74"/>
      <c r="D20" s="74">
        <f t="shared" si="3"/>
        <v>40725</v>
      </c>
      <c r="E20" s="74"/>
      <c r="F20" s="74">
        <f t="shared" si="0"/>
        <v>40725</v>
      </c>
      <c r="G20" s="74"/>
      <c r="H20" s="74">
        <f t="shared" si="1"/>
        <v>40725</v>
      </c>
      <c r="I20" s="74"/>
      <c r="J20" s="74">
        <f t="shared" si="2"/>
        <v>40725</v>
      </c>
    </row>
    <row r="21" spans="1:10" ht="15.75">
      <c r="A21" s="73" t="s">
        <v>13</v>
      </c>
      <c r="B21" s="251">
        <v>217300</v>
      </c>
      <c r="C21" s="74"/>
      <c r="D21" s="74">
        <f t="shared" si="3"/>
        <v>54325</v>
      </c>
      <c r="E21" s="74"/>
      <c r="F21" s="74">
        <f t="shared" si="0"/>
        <v>54325</v>
      </c>
      <c r="G21" s="74"/>
      <c r="H21" s="74">
        <f t="shared" si="1"/>
        <v>54325</v>
      </c>
      <c r="I21" s="74"/>
      <c r="J21" s="74">
        <f t="shared" si="2"/>
        <v>54325</v>
      </c>
    </row>
    <row r="22" spans="1:10" ht="15.75">
      <c r="A22" s="73" t="s">
        <v>14</v>
      </c>
      <c r="B22" s="251">
        <v>143700</v>
      </c>
      <c r="C22" s="74"/>
      <c r="D22" s="74">
        <f t="shared" si="3"/>
        <v>35925</v>
      </c>
      <c r="E22" s="74"/>
      <c r="F22" s="74">
        <f t="shared" si="0"/>
        <v>35925</v>
      </c>
      <c r="G22" s="74"/>
      <c r="H22" s="74">
        <f t="shared" si="1"/>
        <v>35925</v>
      </c>
      <c r="I22" s="74"/>
      <c r="J22" s="74">
        <f t="shared" si="2"/>
        <v>35925</v>
      </c>
    </row>
    <row r="23" spans="1:10" ht="15.75">
      <c r="A23" s="73" t="s">
        <v>15</v>
      </c>
      <c r="B23" s="251">
        <v>295300</v>
      </c>
      <c r="C23" s="74"/>
      <c r="D23" s="74">
        <f t="shared" si="3"/>
        <v>73825</v>
      </c>
      <c r="E23" s="74"/>
      <c r="F23" s="74">
        <f t="shared" si="0"/>
        <v>73825</v>
      </c>
      <c r="G23" s="74"/>
      <c r="H23" s="74">
        <f t="shared" si="1"/>
        <v>73825</v>
      </c>
      <c r="I23" s="74"/>
      <c r="J23" s="74">
        <f t="shared" si="2"/>
        <v>73825</v>
      </c>
    </row>
    <row r="24" spans="1:10" ht="15.75">
      <c r="A24" s="73" t="s">
        <v>16</v>
      </c>
      <c r="B24" s="251">
        <v>263200</v>
      </c>
      <c r="C24" s="74"/>
      <c r="D24" s="74">
        <f t="shared" si="3"/>
        <v>65800</v>
      </c>
      <c r="E24" s="74"/>
      <c r="F24" s="74">
        <f t="shared" si="0"/>
        <v>65800</v>
      </c>
      <c r="G24" s="74"/>
      <c r="H24" s="74">
        <f t="shared" si="1"/>
        <v>65800</v>
      </c>
      <c r="I24" s="74"/>
      <c r="J24" s="74">
        <f t="shared" si="2"/>
        <v>65800</v>
      </c>
    </row>
    <row r="25" spans="1:10" ht="15.75">
      <c r="A25" s="73" t="s">
        <v>17</v>
      </c>
      <c r="B25" s="251">
        <v>251300</v>
      </c>
      <c r="C25" s="74"/>
      <c r="D25" s="74">
        <f t="shared" si="3"/>
        <v>62825</v>
      </c>
      <c r="E25" s="74"/>
      <c r="F25" s="74">
        <f t="shared" si="0"/>
        <v>62825</v>
      </c>
      <c r="G25" s="74"/>
      <c r="H25" s="74">
        <f t="shared" si="1"/>
        <v>62825</v>
      </c>
      <c r="I25" s="74"/>
      <c r="J25" s="74">
        <f t="shared" si="2"/>
        <v>62825</v>
      </c>
    </row>
    <row r="26" spans="1:10" ht="15.75">
      <c r="A26" s="73" t="s">
        <v>18</v>
      </c>
      <c r="B26" s="251">
        <v>184000</v>
      </c>
      <c r="C26" s="74"/>
      <c r="D26" s="74">
        <f t="shared" si="3"/>
        <v>46000</v>
      </c>
      <c r="E26" s="74"/>
      <c r="F26" s="74">
        <f t="shared" si="0"/>
        <v>46000</v>
      </c>
      <c r="G26" s="74"/>
      <c r="H26" s="74">
        <f t="shared" si="1"/>
        <v>46000</v>
      </c>
      <c r="I26" s="74"/>
      <c r="J26" s="74">
        <f t="shared" si="2"/>
        <v>46000</v>
      </c>
    </row>
    <row r="27" spans="1:10" ht="15.75">
      <c r="A27" s="73" t="s">
        <v>19</v>
      </c>
      <c r="B27" s="251">
        <v>74100</v>
      </c>
      <c r="C27" s="74"/>
      <c r="D27" s="74">
        <f t="shared" si="3"/>
        <v>18525</v>
      </c>
      <c r="E27" s="74"/>
      <c r="F27" s="74">
        <f t="shared" si="0"/>
        <v>18525</v>
      </c>
      <c r="G27" s="74"/>
      <c r="H27" s="74">
        <f t="shared" si="1"/>
        <v>18525</v>
      </c>
      <c r="I27" s="74"/>
      <c r="J27" s="74">
        <f t="shared" si="2"/>
        <v>18525</v>
      </c>
    </row>
    <row r="28" spans="1:10" ht="15.75">
      <c r="A28" s="73" t="s">
        <v>20</v>
      </c>
      <c r="B28" s="251">
        <v>66400</v>
      </c>
      <c r="C28" s="74"/>
      <c r="D28" s="74">
        <f t="shared" si="3"/>
        <v>16600</v>
      </c>
      <c r="E28" s="74"/>
      <c r="F28" s="74">
        <f t="shared" si="0"/>
        <v>16600</v>
      </c>
      <c r="G28" s="74"/>
      <c r="H28" s="74">
        <f t="shared" si="1"/>
        <v>16600</v>
      </c>
      <c r="I28" s="74"/>
      <c r="J28" s="74">
        <f t="shared" si="2"/>
        <v>16600</v>
      </c>
    </row>
    <row r="29" spans="1:10" ht="15.75">
      <c r="A29" s="73" t="s">
        <v>21</v>
      </c>
      <c r="B29" s="252">
        <v>66900</v>
      </c>
      <c r="C29" s="74"/>
      <c r="D29" s="75">
        <f t="shared" si="3"/>
        <v>16725</v>
      </c>
      <c r="E29" s="74"/>
      <c r="F29" s="75">
        <f t="shared" si="0"/>
        <v>16725</v>
      </c>
      <c r="G29" s="74"/>
      <c r="H29" s="75">
        <f t="shared" si="1"/>
        <v>16725</v>
      </c>
      <c r="I29" s="74"/>
      <c r="J29" s="75">
        <f t="shared" si="2"/>
        <v>16725</v>
      </c>
    </row>
    <row r="30" spans="1:9" ht="9" customHeight="1">
      <c r="A30" s="73"/>
      <c r="B30" s="156"/>
      <c r="D30" s="65"/>
      <c r="E30" s="65"/>
      <c r="F30" s="65"/>
      <c r="G30" s="65"/>
      <c r="H30" s="65"/>
      <c r="I30" s="65"/>
    </row>
    <row r="31" spans="1:10" s="77" customFormat="1" ht="15.75">
      <c r="A31" s="76" t="s">
        <v>36</v>
      </c>
      <c r="B31" s="157">
        <f>SUM(B7:B29)</f>
        <v>3526000</v>
      </c>
      <c r="C31" s="76"/>
      <c r="D31" s="76">
        <f>SUM(D7:D30)</f>
        <v>881500</v>
      </c>
      <c r="E31" s="76"/>
      <c r="F31" s="76">
        <f>SUM(F7:F30)</f>
        <v>881500</v>
      </c>
      <c r="G31" s="76"/>
      <c r="H31" s="76">
        <f>SUM(H7:H30)</f>
        <v>881500</v>
      </c>
      <c r="I31" s="76"/>
      <c r="J31" s="76">
        <f>SUM(J7:J30)</f>
        <v>881500</v>
      </c>
    </row>
    <row r="32" spans="1:14" ht="15.75">
      <c r="A32" s="73"/>
      <c r="B32" s="65"/>
      <c r="D32" s="65"/>
      <c r="E32" s="65"/>
      <c r="F32" s="65"/>
      <c r="G32" s="65"/>
      <c r="H32" s="65"/>
      <c r="I32" s="65"/>
      <c r="L32" s="253"/>
      <c r="M32" s="253"/>
      <c r="N32" s="253"/>
    </row>
    <row r="33" spans="12:14" ht="15.75">
      <c r="L33" s="254"/>
      <c r="M33" s="254"/>
      <c r="N33" s="254"/>
    </row>
    <row r="34" spans="1:10" ht="49.5" customHeight="1">
      <c r="A34" s="425" t="s">
        <v>89</v>
      </c>
      <c r="B34" s="426"/>
      <c r="C34" s="426"/>
      <c r="D34" s="426"/>
      <c r="E34" s="426"/>
      <c r="F34" s="426"/>
      <c r="G34" s="426"/>
      <c r="H34" s="426"/>
      <c r="I34" s="426"/>
      <c r="J34" s="426"/>
    </row>
    <row r="35" spans="1:10" ht="30.75" customHeight="1">
      <c r="A35" s="427" t="s">
        <v>74</v>
      </c>
      <c r="B35" s="427"/>
      <c r="C35" s="427"/>
      <c r="D35" s="427"/>
      <c r="E35" s="427"/>
      <c r="F35" s="427"/>
      <c r="G35" s="427"/>
      <c r="H35" s="427"/>
      <c r="I35" s="427"/>
      <c r="J35" s="427"/>
    </row>
  </sheetData>
  <sheetProtection/>
  <mergeCells count="3">
    <mergeCell ref="D4:J4"/>
    <mergeCell ref="A34:J34"/>
    <mergeCell ref="A35:J35"/>
  </mergeCells>
  <printOptions/>
  <pageMargins left="0.75" right="0.5" top="0.5" bottom="0.5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Kemsley, Chris</cp:lastModifiedBy>
  <cp:lastPrinted>2011-04-07T22:28:46Z</cp:lastPrinted>
  <dcterms:created xsi:type="dcterms:W3CDTF">2005-01-20T22:46:37Z</dcterms:created>
  <dcterms:modified xsi:type="dcterms:W3CDTF">2018-11-15T22:23:43Z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f12f4791-4f9a-4204-8cf1-af10741475c6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72WVDYXX2UNK-1717399031-164</vt:lpwstr>
  </property>
  <property fmtid="{D5CDD505-2E9C-101B-9397-08002B2CF9AE}" pid="7" name="_dlc_DocIdUrl">
    <vt:lpwstr>https://update.calstate.edu/csu-system/about-the-csu/budget/_layouts/15/DocIdRedir.aspx?ID=72WVDYXX2UNK-1717399031-164, 72WVDYXX2UNK-1717399031-164</vt:lpwstr>
  </property>
</Properties>
</file>